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75" yWindow="4050" windowWidth="9180" windowHeight="11640" tabRatio="670" firstSheet="1" activeTab="1"/>
  </bookViews>
  <sheets>
    <sheet name="Web Archiving Case Study" sheetId="1" r:id="rId1"/>
    <sheet name="LIFE Generic Preservation Model" sheetId="2" r:id="rId2"/>
    <sheet name="Preservation Model constants" sheetId="3" r:id="rId3"/>
    <sheet name="Example Migration Costs" sheetId="4" r:id="rId4"/>
  </sheets>
  <definedNames>
    <definedName name="AVIN">#REF!</definedName>
    <definedName name="BCM">'Preservation Model constants'!$D$11</definedName>
    <definedName name="BCT">'Preservation Model constants'!$D$12</definedName>
    <definedName name="BFR">'Preservation Model constants'!#REF!</definedName>
    <definedName name="Bitmap">'Preservation Model constants'!$E$9</definedName>
    <definedName name="BLE">'Preservation Model constants'!$D$16</definedName>
    <definedName name="COA">'Preservation Model constants'!$D$19</definedName>
    <definedName name="Complex">'Preservation Model constants'!$J$9</definedName>
    <definedName name="Document">'Preservation Model constants'!$I$9</definedName>
    <definedName name="ETA">'Preservation Model constants'!#REF!</definedName>
    <definedName name="FCM">'Preservation Model constants'!$D$18</definedName>
    <definedName name="Five">'Preservation Model constants'!$D$23</definedName>
    <definedName name="FSF">'Preservation Model constants'!$D$20</definedName>
    <definedName name="HCM">'Preservation Model constants'!$D$11</definedName>
    <definedName name="Hundred">'Preservation Model constants'!$D$26</definedName>
    <definedName name="HVM">'Preservation Model constants'!$D$17</definedName>
    <definedName name="LVM">'Preservation Model constants'!$D$18</definedName>
    <definedName name="Mark_up">'Preservation Model constants'!$F$9</definedName>
    <definedName name="Multimedia">'Preservation Model constants'!$H$9</definedName>
    <definedName name="One">'Preservation Model constants'!$D$22</definedName>
    <definedName name="PLA">'Preservation Model constants'!$D$13</definedName>
    <definedName name="PLN">'Preservation Model constants'!$D$14</definedName>
    <definedName name="POC">'Preservation Model constants'!$D$7</definedName>
    <definedName name="POM">'Preservation Model constants'!$D$6</definedName>
    <definedName name="PON">'Preservation Model constants'!$D$5</definedName>
    <definedName name="PUM">'Preservation Model constants'!$D$17</definedName>
    <definedName name="Simple">'Preservation Model constants'!$D$9</definedName>
    <definedName name="STA">'Preservation Model constants'!#REF!</definedName>
    <definedName name="TDC">'Preservation Model constants'!#REF!</definedName>
    <definedName name="Ten">'Preservation Model constants'!$D$24</definedName>
    <definedName name="TEND">#REF!</definedName>
    <definedName name="TEW">'Preservation Model constants'!$D$15</definedName>
    <definedName name="TOC">'Preservation Model constants'!#REF!</definedName>
    <definedName name="TPC">'Preservation Model constants'!#REF!</definedName>
    <definedName name="Twenty">'Preservation Model constants'!$D$25</definedName>
    <definedName name="UME">'Preservation Model constants'!$D$13</definedName>
    <definedName name="Vector">'Preservation Model constants'!$G$9</definedName>
    <definedName name="Yearf">#REF!</definedName>
  </definedNames>
  <calcPr fullCalcOnLoad="1"/>
</workbook>
</file>

<file path=xl/sharedStrings.xml><?xml version="1.0" encoding="utf-8"?>
<sst xmlns="http://schemas.openxmlformats.org/spreadsheetml/2006/main" count="201" uniqueCount="171">
  <si>
    <t>Acquisition (Aq)</t>
  </si>
  <si>
    <t>Selection</t>
  </si>
  <si>
    <t>IPR</t>
  </si>
  <si>
    <t>Licencsing</t>
  </si>
  <si>
    <t>Ordering and invoicing</t>
  </si>
  <si>
    <t>Obtaining</t>
  </si>
  <si>
    <t>Check-in</t>
  </si>
  <si>
    <t>Q/A</t>
  </si>
  <si>
    <t>Deposit</t>
  </si>
  <si>
    <t>Holdings Update</t>
  </si>
  <si>
    <t>Characterisation</t>
  </si>
  <si>
    <t>Descriptive metadata</t>
  </si>
  <si>
    <t>Access (Ac)</t>
  </si>
  <si>
    <t>Metadata (M)</t>
  </si>
  <si>
    <t>Ingest (I)</t>
  </si>
  <si>
    <t>User support</t>
  </si>
  <si>
    <t>Storage (S)</t>
  </si>
  <si>
    <t>Bit-stream storage costs</t>
  </si>
  <si>
    <t>Preservation (P)</t>
  </si>
  <si>
    <t>LIFE Model category</t>
  </si>
  <si>
    <t>LIFE Model element</t>
  </si>
  <si>
    <t>Quality Assurance (Q)</t>
  </si>
  <si>
    <t>Selection (S)</t>
  </si>
  <si>
    <t>N/A</t>
  </si>
  <si>
    <t>Adding + maintenances of links, Ref linking</t>
  </si>
  <si>
    <t>Update of 4 catalogue records</t>
  </si>
  <si>
    <t>RM Officer effort over one month (minutes)</t>
  </si>
  <si>
    <t>Archivist 2 effort over one month (minutes)</t>
  </si>
  <si>
    <t>Archivist 1 effort over one month (minutes</t>
  </si>
  <si>
    <t>Register Title (R)</t>
  </si>
  <si>
    <t>Selection board 3 grade As (minutes)</t>
  </si>
  <si>
    <t>Selection board 7 grade Bs (minutes)</t>
  </si>
  <si>
    <t>Totals:</t>
  </si>
  <si>
    <t>LIFE Project, Web Archiving Case Study</t>
  </si>
  <si>
    <t>Web Archivist, grade A (minutes)</t>
  </si>
  <si>
    <t>Permissions (Pe)</t>
  </si>
  <si>
    <t>Total cost for October 2005 Web Archiving</t>
  </si>
  <si>
    <t>Life Generic Preservation Model</t>
  </si>
  <si>
    <t>Scaling components</t>
  </si>
  <si>
    <t>PON</t>
  </si>
  <si>
    <t>FCX</t>
  </si>
  <si>
    <t>Cost Components</t>
  </si>
  <si>
    <t>BCT</t>
  </si>
  <si>
    <t>TEW</t>
  </si>
  <si>
    <t>Bitmap</t>
  </si>
  <si>
    <t>Vector</t>
  </si>
  <si>
    <t>Document</t>
  </si>
  <si>
    <t>Multimedia</t>
  </si>
  <si>
    <t>Simple</t>
  </si>
  <si>
    <t>Format Complexity (FCX)</t>
  </si>
  <si>
    <t>Preservation cost over number of years:</t>
  </si>
  <si>
    <t>Web Archiving case study activity codes</t>
  </si>
  <si>
    <t>Years</t>
  </si>
  <si>
    <t>One</t>
  </si>
  <si>
    <t>Five</t>
  </si>
  <si>
    <t>Ten</t>
  </si>
  <si>
    <t>Twenty</t>
  </si>
  <si>
    <t>Hundred</t>
  </si>
  <si>
    <t>Complex</t>
  </si>
  <si>
    <t>Mark_up</t>
  </si>
  <si>
    <t>Percentage of overall cost</t>
  </si>
  <si>
    <t>Access mechanism</t>
  </si>
  <si>
    <t>Set gather (G) + Enquiries (E) + Magus Support</t>
  </si>
  <si>
    <t>Magus Hosting (95%)</t>
  </si>
  <si>
    <t>Magus Hosting (5%)</t>
  </si>
  <si>
    <t>N/A - appears only as QA</t>
  </si>
  <si>
    <t>Average cost per new title (17 new titles archived, 133 titles selected and IPR cleared)</t>
  </si>
  <si>
    <t>Average cost per instance archived (141 instances)</t>
  </si>
  <si>
    <t>Administrative metadata</t>
  </si>
  <si>
    <t>Average costings for October 2005 - Draft</t>
  </si>
  <si>
    <t>Average cost per year :</t>
  </si>
  <si>
    <t>Total :</t>
  </si>
  <si>
    <t>File Format (MIME)</t>
  </si>
  <si>
    <t>Admin (A) and Arc+Db M'nce (Ma)</t>
  </si>
  <si>
    <t>Process Instance (P)</t>
  </si>
  <si>
    <t>text/html</t>
  </si>
  <si>
    <t>image/jpeg</t>
  </si>
  <si>
    <t>image/gif</t>
  </si>
  <si>
    <t>application/pdf</t>
  </si>
  <si>
    <t>application/msword</t>
  </si>
  <si>
    <t>text/plain</t>
  </si>
  <si>
    <t>text/css</t>
  </si>
  <si>
    <t>text/xml</t>
  </si>
  <si>
    <t>application/octet-stream</t>
  </si>
  <si>
    <t>image/png</t>
  </si>
  <si>
    <t>application/x-javascript</t>
  </si>
  <si>
    <t>audio/x-pn-realaudio</t>
  </si>
  <si>
    <t>audio/mpeg</t>
  </si>
  <si>
    <t>application/x-shockwave-flash</t>
  </si>
  <si>
    <t>video/quicktime</t>
  </si>
  <si>
    <t>application/vnd.ms-powerpoint</t>
  </si>
  <si>
    <t>video/x-ms-asf</t>
  </si>
  <si>
    <t>application/xml</t>
  </si>
  <si>
    <t>application/rdf+xml</t>
  </si>
  <si>
    <t>application/zip</t>
  </si>
  <si>
    <t>audio/midi</t>
  </si>
  <si>
    <t>application/atom+xml</t>
  </si>
  <si>
    <t>text/rtf</t>
  </si>
  <si>
    <t>application/vnd.ms-excel</t>
  </si>
  <si>
    <t>image/x-icon</t>
  </si>
  <si>
    <t>video/mpeg</t>
  </si>
  <si>
    <t>audio/x-wav</t>
  </si>
  <si>
    <t>video/x-ms-wmv</t>
  </si>
  <si>
    <t>application/vnd.sun.xml.impress</t>
  </si>
  <si>
    <t>audio/x-scpls</t>
  </si>
  <si>
    <t>audio/wav</t>
  </si>
  <si>
    <t>video/unknown</t>
  </si>
  <si>
    <t>audio/basic</t>
  </si>
  <si>
    <t>application/ogg</t>
  </si>
  <si>
    <t>video/mp4</t>
  </si>
  <si>
    <t>application/vnd.rn-realmedia</t>
  </si>
  <si>
    <t>Average cost per instance per year</t>
  </si>
  <si>
    <t>Number of objects in sample</t>
  </si>
  <si>
    <t xml:space="preserve">Estimated number of objects in one year </t>
  </si>
  <si>
    <t>Average cost per title per year (including average instances costs)</t>
  </si>
  <si>
    <t>Cost per title after 5 years</t>
  </si>
  <si>
    <t>Cost per title after 10 years</t>
  </si>
  <si>
    <t>Cost per title after 20 years</t>
  </si>
  <si>
    <t>`</t>
  </si>
  <si>
    <t>Percentage for overall 10 year cost per title</t>
  </si>
  <si>
    <t>Category</t>
  </si>
  <si>
    <t>Examples</t>
  </si>
  <si>
    <t>JPEG, GIF</t>
  </si>
  <si>
    <t>XML</t>
  </si>
  <si>
    <t>EMF, Draw</t>
  </si>
  <si>
    <t>MPEG3, WAV</t>
  </si>
  <si>
    <t>Word, PDF</t>
  </si>
  <si>
    <t>ASCII, Unicode</t>
  </si>
  <si>
    <t>Magus</t>
  </si>
  <si>
    <t>Total tech watch</t>
  </si>
  <si>
    <t>Percentage based element breakdown:</t>
  </si>
  <si>
    <t>Element totals:</t>
  </si>
  <si>
    <t>COA</t>
  </si>
  <si>
    <t>Preservation tool cost</t>
  </si>
  <si>
    <t>Technology watch</t>
  </si>
  <si>
    <t>Preservation metadata</t>
  </si>
  <si>
    <t>Preservation action</t>
  </si>
  <si>
    <t>Quality assurance</t>
  </si>
  <si>
    <t xml:space="preserve">Individual category percentage breakdown </t>
  </si>
  <si>
    <t>BLE</t>
  </si>
  <si>
    <t xml:space="preserve">Base cost of testing a preservation action per object </t>
  </si>
  <si>
    <t>Cost of preservation tool (set up and integration)</t>
  </si>
  <si>
    <t>Format complexity</t>
  </si>
  <si>
    <t>Proportion of normalisation (what proportion of content stream is normalised on ingest)</t>
  </si>
  <si>
    <t>POC</t>
  </si>
  <si>
    <t>Preservation Planning</t>
  </si>
  <si>
    <t>Tool Setup Cost</t>
  </si>
  <si>
    <t>Base life expectancy of a format (years)</t>
  </si>
  <si>
    <t>PLA</t>
  </si>
  <si>
    <t>PLN</t>
  </si>
  <si>
    <t xml:space="preserve">Planning cost when a Preservation Action will be conducted = 7 metadata officer days @ £45k annual salary </t>
  </si>
  <si>
    <t>Quality Assurance</t>
  </si>
  <si>
    <t>Execute Preservation Action</t>
  </si>
  <si>
    <t>Formats and numbers of files are taken from the BL Web Archiving Case Study (LIFE1)</t>
  </si>
  <si>
    <t>No. of objects to be migrated</t>
  </si>
  <si>
    <t>Example Migration Costs</t>
  </si>
  <si>
    <t>This sheet illustrates how the costs of migration per object decrease as the number of objects to be migrated increases.</t>
  </si>
  <si>
    <t>Migration cost (total)</t>
  </si>
  <si>
    <t>Migration cost per object</t>
  </si>
  <si>
    <t>Technology Watch =  3 metadata officer days @ £45k annual salary</t>
  </si>
  <si>
    <t xml:space="preserve">Planning cost when a Preservation Action will not be conducted = 1 metadata officer days @ £45k annual salary </t>
  </si>
  <si>
    <t>Expected Number of Preservation Actions (ENP)</t>
  </si>
  <si>
    <t>POM</t>
  </si>
  <si>
    <t>Proportion of migration (what proportion of content stream will be migrated)</t>
  </si>
  <si>
    <t>PUM</t>
  </si>
  <si>
    <t>FCM</t>
  </si>
  <si>
    <t>Fixed Cost Migration</t>
  </si>
  <si>
    <t>Per-Unit Migration</t>
  </si>
  <si>
    <t>FSF</t>
  </si>
  <si>
    <t>Format Stabilisation Factor (the annual change in file format life expectancy per-year)</t>
  </si>
  <si>
    <t>Proportion of Collection (Generic tasks such as Tech Watch support more than one collection. This factor represents the percentage of all content held at the institution in this particular collection or content stream).</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</si>
</sst>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
    <numFmt numFmtId="170" formatCode="0.0"/>
    <numFmt numFmtId="171" formatCode="&quot;£&quot;#,##0.0"/>
    <numFmt numFmtId="172" formatCode="_-* #,##0.00\ _£_-;\-* #,##0.00\ _£_-;_-* &quot;-&quot;??\ _£_-;_-@_-"/>
    <numFmt numFmtId="173" formatCode="_-* #,##0\ _£_-;\-* #,##0\ _£_-;_-* &quot;-&quot;\ _£_-;_-@_-"/>
    <numFmt numFmtId="174" formatCode="_-* #,##0.00\ &quot;£&quot;_-;\-* #,##0.00\ &quot;£&quot;_-;_-* &quot;-&quot;??\ &quot;£&quot;_-;_-@_-"/>
    <numFmt numFmtId="175" formatCode="_-* #,##0\ &quot;£&quot;_-;\-* #,##0\ &quot;£&quot;_-;_-* &quot;-&quot;\ &quot;£&quot;_-;_-@_-"/>
    <numFmt numFmtId="176" formatCode="&quot;£&quot;#,##0;[Red]&quot;£&quot;#,##0"/>
    <numFmt numFmtId="177" formatCode="0.0000"/>
    <numFmt numFmtId="178" formatCode="0.0%"/>
    <numFmt numFmtId="179" formatCode="0.00000%"/>
  </numFmts>
  <fonts count="8">
    <font>
      <sz val="10"/>
      <name val="Arial"/>
      <family val="0"/>
    </font>
    <font>
      <sz val="8"/>
      <name val="Arial"/>
      <family val="0"/>
    </font>
    <font>
      <b/>
      <sz val="10"/>
      <name val="Arial"/>
      <family val="2"/>
    </font>
    <font>
      <b/>
      <sz val="16"/>
      <name val="Arial"/>
      <family val="2"/>
    </font>
    <font>
      <b/>
      <sz val="12"/>
      <name val="Arial"/>
      <family val="2"/>
    </font>
    <font>
      <u val="single"/>
      <sz val="10"/>
      <color indexed="61"/>
      <name val="Arial"/>
      <family val="0"/>
    </font>
    <font>
      <u val="single"/>
      <sz val="10"/>
      <color indexed="12"/>
      <name val="Arial"/>
      <family val="0"/>
    </font>
    <font>
      <i/>
      <sz val="10"/>
      <name val="Arial"/>
      <family val="2"/>
    </font>
  </fonts>
  <fills count="9">
    <fill>
      <patternFill/>
    </fill>
    <fill>
      <patternFill patternType="gray125"/>
    </fill>
    <fill>
      <patternFill patternType="solid">
        <fgColor indexed="44"/>
        <bgColor indexed="64"/>
      </patternFill>
    </fill>
    <fill>
      <patternFill patternType="solid">
        <fgColor indexed="48"/>
        <bgColor indexed="64"/>
      </patternFill>
    </fill>
    <fill>
      <patternFill patternType="solid">
        <fgColor indexed="47"/>
        <bgColor indexed="64"/>
      </patternFill>
    </fill>
    <fill>
      <patternFill patternType="solid">
        <fgColor indexed="57"/>
        <bgColor indexed="64"/>
      </patternFill>
    </fill>
    <fill>
      <patternFill patternType="solid">
        <fgColor indexed="41"/>
        <bgColor indexed="64"/>
      </patternFill>
    </fill>
    <fill>
      <patternFill patternType="solid">
        <fgColor indexed="42"/>
        <bgColor indexed="64"/>
      </patternFill>
    </fill>
    <fill>
      <patternFill patternType="solid">
        <fgColor indexed="5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2" borderId="0" xfId="0" applyFill="1" applyAlignment="1">
      <alignment/>
    </xf>
    <xf numFmtId="0" fontId="0" fillId="0" borderId="0" xfId="0" applyFill="1" applyAlignment="1">
      <alignment/>
    </xf>
    <xf numFmtId="0" fontId="0" fillId="0" borderId="0" xfId="0" applyAlignment="1">
      <alignment textRotation="135" wrapText="1"/>
    </xf>
    <xf numFmtId="0" fontId="0" fillId="0" borderId="0" xfId="0" applyFont="1" applyAlignment="1">
      <alignment wrapText="1"/>
    </xf>
    <xf numFmtId="8" fontId="0" fillId="0" borderId="0" xfId="0" applyNumberFormat="1"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right" textRotation="180" wrapText="1"/>
    </xf>
    <xf numFmtId="0" fontId="2" fillId="0" borderId="0" xfId="0" applyFont="1" applyFill="1" applyAlignment="1">
      <alignment wrapText="1"/>
    </xf>
    <xf numFmtId="0" fontId="3" fillId="0" borderId="0" xfId="0" applyFont="1" applyAlignment="1">
      <alignment/>
    </xf>
    <xf numFmtId="168" fontId="2" fillId="2" borderId="0" xfId="0" applyNumberFormat="1" applyFont="1" applyFill="1" applyAlignment="1">
      <alignment/>
    </xf>
    <xf numFmtId="168" fontId="0" fillId="0" borderId="0" xfId="0" applyNumberFormat="1" applyAlignment="1">
      <alignment/>
    </xf>
    <xf numFmtId="168" fontId="0" fillId="0" borderId="0" xfId="0" applyNumberFormat="1" applyFill="1" applyAlignment="1">
      <alignment/>
    </xf>
    <xf numFmtId="168" fontId="2" fillId="3" borderId="0" xfId="0" applyNumberFormat="1" applyFont="1" applyFill="1" applyAlignment="1">
      <alignment/>
    </xf>
    <xf numFmtId="168" fontId="2" fillId="4" borderId="0" xfId="0" applyNumberFormat="1" applyFont="1" applyFill="1" applyAlignment="1">
      <alignment/>
    </xf>
    <xf numFmtId="0" fontId="4" fillId="0" borderId="0" xfId="0" applyFont="1" applyAlignment="1">
      <alignment/>
    </xf>
    <xf numFmtId="169" fontId="0" fillId="0" borderId="0" xfId="0" applyNumberFormat="1" applyAlignment="1">
      <alignment/>
    </xf>
    <xf numFmtId="170" fontId="0" fillId="0" borderId="0" xfId="0" applyNumberFormat="1" applyAlignment="1">
      <alignment/>
    </xf>
    <xf numFmtId="1" fontId="0" fillId="0" borderId="0" xfId="0" applyNumberFormat="1" applyAlignment="1">
      <alignment/>
    </xf>
    <xf numFmtId="169" fontId="2" fillId="5" borderId="0" xfId="0" applyNumberFormat="1" applyFont="1" applyFill="1" applyAlignment="1">
      <alignment/>
    </xf>
    <xf numFmtId="2" fontId="0" fillId="0" borderId="0" xfId="0" applyNumberFormat="1" applyAlignment="1">
      <alignment/>
    </xf>
    <xf numFmtId="171" fontId="0" fillId="0" borderId="0" xfId="0" applyNumberFormat="1" applyAlignment="1">
      <alignment/>
    </xf>
    <xf numFmtId="0" fontId="2" fillId="0" borderId="0" xfId="0" applyFont="1" applyFill="1" applyAlignment="1">
      <alignment/>
    </xf>
    <xf numFmtId="169" fontId="0" fillId="0" borderId="0" xfId="0" applyNumberFormat="1" applyFill="1" applyAlignment="1">
      <alignment/>
    </xf>
    <xf numFmtId="9" fontId="0" fillId="0" borderId="0" xfId="0" applyNumberFormat="1" applyFill="1" applyAlignment="1">
      <alignment/>
    </xf>
    <xf numFmtId="9" fontId="0" fillId="0" borderId="0" xfId="0" applyNumberFormat="1" applyAlignment="1">
      <alignment/>
    </xf>
    <xf numFmtId="0" fontId="0" fillId="4" borderId="0" xfId="0" applyFill="1" applyAlignment="1">
      <alignment/>
    </xf>
    <xf numFmtId="9" fontId="0" fillId="6" borderId="0" xfId="0" applyNumberFormat="1" applyFill="1" applyAlignment="1">
      <alignment/>
    </xf>
    <xf numFmtId="169" fontId="2" fillId="0" borderId="0" xfId="0" applyNumberFormat="1" applyFont="1" applyAlignment="1">
      <alignment/>
    </xf>
    <xf numFmtId="169" fontId="2" fillId="0" borderId="0" xfId="0" applyNumberFormat="1" applyFont="1" applyFill="1" applyAlignment="1">
      <alignment/>
    </xf>
    <xf numFmtId="0" fontId="2" fillId="0" borderId="0" xfId="0" applyFont="1" applyAlignment="1">
      <alignment horizontal="right" wrapText="1"/>
    </xf>
    <xf numFmtId="168" fontId="2" fillId="0" borderId="0" xfId="0" applyNumberFormat="1" applyFont="1" applyFill="1" applyAlignment="1">
      <alignment/>
    </xf>
    <xf numFmtId="4" fontId="0" fillId="0" borderId="0" xfId="0" applyNumberFormat="1" applyAlignment="1">
      <alignment/>
    </xf>
    <xf numFmtId="2" fontId="0" fillId="0" borderId="0" xfId="0" applyNumberFormat="1" applyFont="1" applyAlignment="1">
      <alignment/>
    </xf>
    <xf numFmtId="0" fontId="2" fillId="5" borderId="0" xfId="0" applyFont="1" applyFill="1" applyAlignment="1">
      <alignment/>
    </xf>
    <xf numFmtId="0" fontId="0" fillId="7" borderId="0" xfId="0" applyFill="1" applyAlignment="1">
      <alignment/>
    </xf>
    <xf numFmtId="4" fontId="0" fillId="0" borderId="0" xfId="0" applyNumberFormat="1" applyFill="1" applyAlignment="1">
      <alignment/>
    </xf>
    <xf numFmtId="168" fontId="2" fillId="8" borderId="0" xfId="0" applyNumberFormat="1" applyFont="1" applyFill="1" applyAlignment="1">
      <alignment/>
    </xf>
    <xf numFmtId="0" fontId="0" fillId="0" borderId="0" xfId="0" applyFont="1" applyAlignment="1">
      <alignment/>
    </xf>
    <xf numFmtId="0" fontId="7" fillId="0" borderId="0" xfId="0" applyFont="1" applyAlignment="1">
      <alignment wrapText="1"/>
    </xf>
    <xf numFmtId="9" fontId="2" fillId="4" borderId="0" xfId="0" applyNumberFormat="1" applyFont="1" applyFill="1" applyAlignment="1">
      <alignment/>
    </xf>
    <xf numFmtId="0" fontId="2" fillId="4" borderId="0" xfId="0" applyFont="1" applyFill="1" applyAlignment="1">
      <alignment/>
    </xf>
    <xf numFmtId="177" fontId="2" fillId="4" borderId="0" xfId="0" applyNumberFormat="1" applyFont="1" applyFill="1" applyAlignment="1">
      <alignment/>
    </xf>
    <xf numFmtId="9" fontId="2" fillId="0" borderId="0" xfId="0" applyNumberFormat="1" applyFont="1" applyAlignment="1">
      <alignment/>
    </xf>
    <xf numFmtId="169" fontId="0" fillId="5" borderId="0" xfId="0" applyNumberFormat="1" applyFill="1" applyAlignment="1">
      <alignment/>
    </xf>
    <xf numFmtId="169" fontId="0" fillId="7" borderId="0" xfId="0" applyNumberFormat="1" applyFill="1" applyAlignment="1">
      <alignment/>
    </xf>
    <xf numFmtId="4" fontId="2" fillId="0" borderId="0" xfId="0" applyNumberFormat="1" applyFont="1" applyAlignment="1">
      <alignment/>
    </xf>
    <xf numFmtId="0" fontId="2" fillId="7" borderId="0" xfId="0" applyFont="1" applyFill="1" applyAlignment="1">
      <alignment/>
    </xf>
    <xf numFmtId="169" fontId="2" fillId="7" borderId="0" xfId="0" applyNumberFormat="1" applyFont="1" applyFill="1" applyAlignment="1">
      <alignment/>
    </xf>
    <xf numFmtId="9" fontId="0" fillId="7" borderId="0" xfId="0" applyNumberFormat="1" applyFill="1" applyAlignment="1">
      <alignment/>
    </xf>
    <xf numFmtId="9" fontId="2" fillId="0" borderId="0" xfId="0" applyNumberFormat="1" applyFont="1" applyFill="1" applyAlignment="1">
      <alignment/>
    </xf>
    <xf numFmtId="9" fontId="2" fillId="2" borderId="0" xfId="0" applyNumberFormat="1" applyFont="1" applyFill="1" applyAlignment="1">
      <alignment/>
    </xf>
    <xf numFmtId="168" fontId="0" fillId="2" borderId="0" xfId="0" applyNumberFormat="1" applyFill="1" applyAlignment="1">
      <alignment/>
    </xf>
    <xf numFmtId="168" fontId="0" fillId="4" borderId="0" xfId="0" applyNumberFormat="1" applyFill="1" applyAlignment="1">
      <alignment/>
    </xf>
    <xf numFmtId="3"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45"/>
  <sheetViews>
    <sheetView workbookViewId="0" topLeftCell="A3">
      <selection activeCell="V44" sqref="V44"/>
    </sheetView>
  </sheetViews>
  <sheetFormatPr defaultColWidth="9.140625" defaultRowHeight="12.75"/>
  <cols>
    <col min="1" max="1" width="20.7109375" style="0" customWidth="1"/>
    <col min="2" max="2" width="36.421875" style="2" customWidth="1"/>
    <col min="3" max="3" width="29.28125" style="0" customWidth="1"/>
    <col min="11" max="11" width="10.140625" style="0" bestFit="1" customWidth="1"/>
    <col min="12" max="12" width="8.00390625" style="0" customWidth="1"/>
    <col min="16" max="16" width="11.140625" style="0" customWidth="1"/>
    <col min="17" max="18" width="9.28125" style="0" bestFit="1" customWidth="1"/>
    <col min="19" max="19" width="10.140625" style="0" bestFit="1" customWidth="1"/>
    <col min="20" max="20" width="13.7109375" style="0" customWidth="1"/>
    <col min="21" max="21" width="10.421875" style="0" customWidth="1"/>
  </cols>
  <sheetData>
    <row r="1" ht="20.25">
      <c r="A1" s="10" t="s">
        <v>33</v>
      </c>
    </row>
    <row r="2" ht="18.75" customHeight="1">
      <c r="A2" s="6" t="s">
        <v>69</v>
      </c>
    </row>
    <row r="3" spans="1:25" s="3" customFormat="1" ht="135" customHeight="1">
      <c r="A3" s="7" t="s">
        <v>19</v>
      </c>
      <c r="B3" s="9" t="s">
        <v>20</v>
      </c>
      <c r="C3" s="7" t="s">
        <v>51</v>
      </c>
      <c r="D3" s="8" t="s">
        <v>28</v>
      </c>
      <c r="E3" s="8" t="s">
        <v>27</v>
      </c>
      <c r="F3" s="8" t="s">
        <v>26</v>
      </c>
      <c r="G3" s="8" t="s">
        <v>30</v>
      </c>
      <c r="H3" s="8" t="s">
        <v>31</v>
      </c>
      <c r="I3" s="8" t="s">
        <v>34</v>
      </c>
      <c r="J3" s="8" t="s">
        <v>128</v>
      </c>
      <c r="K3" s="8" t="s">
        <v>36</v>
      </c>
      <c r="L3" s="8" t="s">
        <v>138</v>
      </c>
      <c r="M3" s="8" t="s">
        <v>60</v>
      </c>
      <c r="N3" s="8" t="s">
        <v>67</v>
      </c>
      <c r="O3" s="8" t="s">
        <v>66</v>
      </c>
      <c r="P3" s="7" t="s">
        <v>114</v>
      </c>
      <c r="Q3" s="7" t="s">
        <v>115</v>
      </c>
      <c r="R3" s="7" t="s">
        <v>116</v>
      </c>
      <c r="S3" s="7" t="s">
        <v>117</v>
      </c>
      <c r="T3" s="7" t="s">
        <v>119</v>
      </c>
      <c r="U3" s="8"/>
      <c r="V3" s="8"/>
      <c r="W3" s="8"/>
      <c r="X3" s="8"/>
      <c r="Y3" s="8"/>
    </row>
    <row r="4" spans="1:20" s="2" customFormat="1" ht="12.75">
      <c r="A4" s="1" t="s">
        <v>0</v>
      </c>
      <c r="J4" s="13"/>
      <c r="M4" s="25"/>
      <c r="P4" s="37"/>
      <c r="Q4" s="37"/>
      <c r="R4" s="37"/>
      <c r="S4" s="37"/>
      <c r="T4" s="37"/>
    </row>
    <row r="5" spans="1:20" ht="12.75">
      <c r="A5" s="1"/>
      <c r="B5" s="2" t="s">
        <v>1</v>
      </c>
      <c r="C5" t="s">
        <v>22</v>
      </c>
      <c r="D5" t="e">
        <f>#REF!</f>
        <v>#REF!</v>
      </c>
      <c r="E5" t="e">
        <f>#REF!</f>
        <v>#REF!</v>
      </c>
      <c r="F5" t="e">
        <f>#REF!</f>
        <v>#REF!</v>
      </c>
      <c r="G5" t="e">
        <f>3*0.05*#REF!</f>
        <v>#REF!</v>
      </c>
      <c r="H5" t="e">
        <f>7*0.05*#REF!</f>
        <v>#REF!</v>
      </c>
      <c r="J5" s="12"/>
      <c r="K5" s="12" t="e">
        <f>D5*#REF!+E5*#REF!+F5*#REF!+G5*#REF!+H5*#REF!</f>
        <v>#REF!</v>
      </c>
      <c r="L5" s="50" t="e">
        <f>K5/K11</f>
        <v>#REF!</v>
      </c>
      <c r="M5" s="26"/>
      <c r="N5" s="13">
        <v>0</v>
      </c>
      <c r="O5" s="13" t="e">
        <f>K5/133</f>
        <v>#REF!</v>
      </c>
      <c r="P5" s="12"/>
      <c r="Q5" s="12"/>
      <c r="R5" s="12"/>
      <c r="S5" s="12"/>
      <c r="T5" s="25"/>
    </row>
    <row r="6" spans="1:20" ht="12.75">
      <c r="A6" s="1"/>
      <c r="B6" s="2" t="s">
        <v>2</v>
      </c>
      <c r="C6" t="s">
        <v>35</v>
      </c>
      <c r="D6" t="e">
        <f>#REF!</f>
        <v>#REF!</v>
      </c>
      <c r="E6" t="e">
        <f>#REF!</f>
        <v>#REF!</v>
      </c>
      <c r="F6" t="e">
        <f>#REF!</f>
        <v>#REF!</v>
      </c>
      <c r="J6" s="12"/>
      <c r="K6" s="12" t="e">
        <f>D6*#REF!+E6*#REF!+F6*#REF!</f>
        <v>#REF!</v>
      </c>
      <c r="L6" s="50" t="e">
        <f>K6/K11</f>
        <v>#REF!</v>
      </c>
      <c r="M6" s="26"/>
      <c r="N6" s="13">
        <v>0</v>
      </c>
      <c r="O6" s="13" t="e">
        <f>K6/133</f>
        <v>#REF!</v>
      </c>
      <c r="P6" s="12"/>
      <c r="Q6" s="12"/>
      <c r="R6" s="12"/>
      <c r="S6" s="12"/>
      <c r="T6" s="25"/>
    </row>
    <row r="7" spans="1:20" ht="12.75">
      <c r="A7" s="1"/>
      <c r="B7" s="2" t="s">
        <v>3</v>
      </c>
      <c r="C7" t="s">
        <v>23</v>
      </c>
      <c r="D7" s="2"/>
      <c r="E7" s="2"/>
      <c r="F7" s="2"/>
      <c r="J7" s="12"/>
      <c r="K7" s="12"/>
      <c r="L7" s="50"/>
      <c r="M7" s="26"/>
      <c r="N7" s="13">
        <f>K7/141</f>
        <v>0</v>
      </c>
      <c r="O7" s="13"/>
      <c r="P7" s="12"/>
      <c r="Q7" s="12"/>
      <c r="R7" s="12"/>
      <c r="S7" s="12"/>
      <c r="T7" s="25"/>
    </row>
    <row r="8" spans="1:20" ht="12.75">
      <c r="A8" s="1"/>
      <c r="B8" s="2" t="s">
        <v>4</v>
      </c>
      <c r="C8" t="s">
        <v>23</v>
      </c>
      <c r="D8" s="2"/>
      <c r="E8" s="2"/>
      <c r="F8" s="2"/>
      <c r="J8" s="12"/>
      <c r="K8" s="12"/>
      <c r="L8" s="50"/>
      <c r="M8" s="26"/>
      <c r="N8" s="13">
        <f>K8/141</f>
        <v>0</v>
      </c>
      <c r="O8" s="13"/>
      <c r="P8" s="12"/>
      <c r="Q8" s="12"/>
      <c r="R8" s="12"/>
      <c r="S8" s="12"/>
      <c r="T8" s="25"/>
    </row>
    <row r="9" spans="1:20" ht="12.75">
      <c r="A9" s="1"/>
      <c r="B9" s="2" t="s">
        <v>5</v>
      </c>
      <c r="C9" t="s">
        <v>62</v>
      </c>
      <c r="D9" t="e">
        <f>#REF!+#REF!</f>
        <v>#REF!</v>
      </c>
      <c r="E9" t="e">
        <f>#REF!</f>
        <v>#REF!</v>
      </c>
      <c r="F9" t="e">
        <f>#REF!</f>
        <v>#REF!</v>
      </c>
      <c r="J9" s="12" t="e">
        <f>#REF!</f>
        <v>#REF!</v>
      </c>
      <c r="K9" s="12" t="e">
        <f>D9*#REF!+E9*#REF!+F9*#REF!+#REF!</f>
        <v>#REF!</v>
      </c>
      <c r="L9" s="50" t="e">
        <f>K9/K11</f>
        <v>#REF!</v>
      </c>
      <c r="M9" s="26"/>
      <c r="N9" s="13" t="e">
        <f>K9/141</f>
        <v>#REF!</v>
      </c>
      <c r="O9" s="13"/>
      <c r="P9" s="12"/>
      <c r="Q9" s="12"/>
      <c r="R9" s="12"/>
      <c r="S9" s="12"/>
      <c r="T9" s="25"/>
    </row>
    <row r="10" spans="1:20" ht="12.75">
      <c r="A10" s="1"/>
      <c r="B10" s="2" t="s">
        <v>6</v>
      </c>
      <c r="C10" t="s">
        <v>65</v>
      </c>
      <c r="D10" s="2"/>
      <c r="E10" s="2"/>
      <c r="F10" s="2"/>
      <c r="J10" s="12"/>
      <c r="K10" s="12"/>
      <c r="L10" s="50"/>
      <c r="M10" s="26"/>
      <c r="N10" s="13">
        <f>K10/141</f>
        <v>0</v>
      </c>
      <c r="O10" s="13"/>
      <c r="P10" s="12"/>
      <c r="Q10" s="12"/>
      <c r="R10" s="12"/>
      <c r="S10" s="12"/>
      <c r="T10" s="25"/>
    </row>
    <row r="11" spans="1:20" s="2" customFormat="1" ht="12.75">
      <c r="A11" s="1"/>
      <c r="B11" s="1"/>
      <c r="C11" s="1"/>
      <c r="D11" s="1"/>
      <c r="E11" s="1"/>
      <c r="F11" s="1"/>
      <c r="G11" s="1"/>
      <c r="H11" s="1" t="s">
        <v>118</v>
      </c>
      <c r="I11" s="1"/>
      <c r="J11" s="53"/>
      <c r="K11" s="11" t="e">
        <f>SUM(K5:K10)</f>
        <v>#REF!</v>
      </c>
      <c r="L11" s="51" t="e">
        <f>SUM(L5:L10)</f>
        <v>#REF!</v>
      </c>
      <c r="M11" s="28" t="e">
        <f>K11/K44</f>
        <v>#REF!</v>
      </c>
      <c r="N11" s="14" t="e">
        <f>SUM(N5:N10)</f>
        <v>#REF!</v>
      </c>
      <c r="O11" s="14" t="e">
        <f>SUM(O5:O10)</f>
        <v>#REF!</v>
      </c>
      <c r="P11" s="14" t="e">
        <f>O11+AVIN*N11</f>
        <v>#REF!</v>
      </c>
      <c r="Q11" s="14" t="e">
        <f>O11+AVIN*N11*Five</f>
        <v>#REF!</v>
      </c>
      <c r="R11" s="14" t="e">
        <f>O11+AVIN*N11*Ten</f>
        <v>#REF!</v>
      </c>
      <c r="S11" s="14" t="e">
        <f>O11+AVIN*N11*Twenty</f>
        <v>#REF!</v>
      </c>
      <c r="T11" s="51" t="e">
        <f>Q11/Q44</f>
        <v>#REF!</v>
      </c>
    </row>
    <row r="12" spans="10:20" ht="12.75">
      <c r="J12" s="12"/>
      <c r="K12" s="12"/>
      <c r="L12" s="26"/>
      <c r="M12" s="26"/>
      <c r="N12" s="12"/>
      <c r="O12" s="12"/>
      <c r="P12" s="12"/>
      <c r="Q12" s="12"/>
      <c r="R12" s="12"/>
      <c r="S12" s="12"/>
      <c r="T12" s="25"/>
    </row>
    <row r="13" spans="1:20" s="2" customFormat="1" ht="12.75">
      <c r="A13" s="1" t="s">
        <v>14</v>
      </c>
      <c r="J13" s="13"/>
      <c r="K13" s="13"/>
      <c r="L13" s="25"/>
      <c r="M13" s="25"/>
      <c r="N13" s="13"/>
      <c r="O13" s="13"/>
      <c r="P13" s="13"/>
      <c r="Q13" s="13"/>
      <c r="R13" s="13"/>
      <c r="S13" s="13"/>
      <c r="T13" s="25"/>
    </row>
    <row r="14" spans="1:20" ht="12.75">
      <c r="A14" s="1"/>
      <c r="B14" s="2" t="s">
        <v>7</v>
      </c>
      <c r="C14" t="s">
        <v>21</v>
      </c>
      <c r="D14" t="e">
        <f>#REF!</f>
        <v>#REF!</v>
      </c>
      <c r="E14" t="e">
        <f>#REF!</f>
        <v>#REF!</v>
      </c>
      <c r="F14" t="e">
        <f>#REF!</f>
        <v>#REF!</v>
      </c>
      <c r="J14" s="12"/>
      <c r="K14" s="12" t="e">
        <f>D14*#REF!+E14*#REF!+F14*#REF!</f>
        <v>#REF!</v>
      </c>
      <c r="L14" s="50" t="e">
        <f>K14/K17</f>
        <v>#REF!</v>
      </c>
      <c r="M14" s="26"/>
      <c r="N14" s="12" t="e">
        <f>K14/141</f>
        <v>#REF!</v>
      </c>
      <c r="O14" s="12">
        <v>0</v>
      </c>
      <c r="P14" s="12"/>
      <c r="Q14" s="12"/>
      <c r="R14" s="12"/>
      <c r="S14" s="12"/>
      <c r="T14" s="25"/>
    </row>
    <row r="15" spans="1:20" ht="12.75">
      <c r="A15" s="1"/>
      <c r="B15" s="2" t="s">
        <v>8</v>
      </c>
      <c r="C15" t="s">
        <v>74</v>
      </c>
      <c r="D15" t="e">
        <f>#REF!</f>
        <v>#REF!</v>
      </c>
      <c r="E15" t="e">
        <f>#REF!</f>
        <v>#REF!</v>
      </c>
      <c r="F15" t="e">
        <f>#REF!</f>
        <v>#REF!</v>
      </c>
      <c r="J15" s="12"/>
      <c r="K15" s="12" t="e">
        <f>D15*#REF!+E15*#REF!+F15*#REF!</f>
        <v>#REF!</v>
      </c>
      <c r="L15" s="50" t="e">
        <f>K15/K17</f>
        <v>#REF!</v>
      </c>
      <c r="M15" s="26"/>
      <c r="N15" s="12" t="e">
        <f>K15/141</f>
        <v>#REF!</v>
      </c>
      <c r="O15" s="12">
        <v>0</v>
      </c>
      <c r="P15" s="12"/>
      <c r="Q15" s="12"/>
      <c r="R15" s="12"/>
      <c r="S15" s="12"/>
      <c r="T15" s="25"/>
    </row>
    <row r="16" spans="1:20" s="2" customFormat="1" ht="12.75">
      <c r="A16" s="1"/>
      <c r="B16" s="2" t="s">
        <v>9</v>
      </c>
      <c r="C16" s="2" t="s">
        <v>73</v>
      </c>
      <c r="D16" s="2" t="e">
        <f>#REF!+#REF!</f>
        <v>#REF!</v>
      </c>
      <c r="E16" s="2" t="e">
        <f>#REF!+#REF!</f>
        <v>#REF!</v>
      </c>
      <c r="F16" s="2" t="e">
        <f>#REF!+#REF!</f>
        <v>#REF!</v>
      </c>
      <c r="J16" s="13"/>
      <c r="K16" s="13" t="e">
        <f>D16*#REF!+E16*#REF!+F16*#REF!</f>
        <v>#REF!</v>
      </c>
      <c r="L16" s="50" t="e">
        <f>K16/K17</f>
        <v>#REF!</v>
      </c>
      <c r="M16" s="25"/>
      <c r="N16" s="13" t="e">
        <f>K16/141</f>
        <v>#REF!</v>
      </c>
      <c r="O16" s="13">
        <v>0</v>
      </c>
      <c r="P16" s="13"/>
      <c r="Q16" s="13"/>
      <c r="R16" s="13"/>
      <c r="S16" s="13"/>
      <c r="T16" s="25"/>
    </row>
    <row r="17" spans="1:20" ht="12.75">
      <c r="A17" s="1"/>
      <c r="B17" s="1"/>
      <c r="C17" s="1"/>
      <c r="D17" s="1"/>
      <c r="E17" s="1"/>
      <c r="F17" s="1"/>
      <c r="G17" s="1"/>
      <c r="H17" s="1"/>
      <c r="I17" s="1"/>
      <c r="J17" s="53"/>
      <c r="K17" s="11" t="e">
        <f>SUM(K14:K16)</f>
        <v>#REF!</v>
      </c>
      <c r="L17" s="51" t="e">
        <f>SUM(L14:L16)</f>
        <v>#REF!</v>
      </c>
      <c r="M17" s="28" t="e">
        <f>K17/K44</f>
        <v>#REF!</v>
      </c>
      <c r="N17" s="14" t="e">
        <f>SUM(N14:N16)</f>
        <v>#REF!</v>
      </c>
      <c r="O17" s="14">
        <f>SUM(O14:O16)</f>
        <v>0</v>
      </c>
      <c r="P17" s="14" t="e">
        <f>O17+AVIN*N17</f>
        <v>#REF!</v>
      </c>
      <c r="Q17" s="14" t="e">
        <f>O17+AVIN*N17*Five</f>
        <v>#REF!</v>
      </c>
      <c r="R17" s="14" t="e">
        <f>O17+AVIN*N17*Ten</f>
        <v>#REF!</v>
      </c>
      <c r="S17" s="14" t="e">
        <f>O17+AVIN*N17*Twenty</f>
        <v>#REF!</v>
      </c>
      <c r="T17" s="51" t="e">
        <f>Q17/Q44</f>
        <v>#REF!</v>
      </c>
    </row>
    <row r="18" spans="10:20" ht="12.75">
      <c r="J18" s="12"/>
      <c r="K18" s="12"/>
      <c r="L18" s="26"/>
      <c r="M18" s="26"/>
      <c r="N18" s="12"/>
      <c r="O18" s="12"/>
      <c r="P18" s="12"/>
      <c r="Q18" s="12"/>
      <c r="R18" s="12"/>
      <c r="S18" s="12"/>
      <c r="T18" s="25"/>
    </row>
    <row r="19" spans="1:20" s="2" customFormat="1" ht="12.75">
      <c r="A19" s="1" t="s">
        <v>13</v>
      </c>
      <c r="J19" s="13"/>
      <c r="K19" s="13"/>
      <c r="L19" s="25"/>
      <c r="M19" s="25"/>
      <c r="N19" s="13"/>
      <c r="O19" s="13"/>
      <c r="P19" s="13"/>
      <c r="Q19" s="13"/>
      <c r="R19" s="13"/>
      <c r="S19" s="13"/>
      <c r="T19" s="25"/>
    </row>
    <row r="20" spans="1:20" ht="12.75">
      <c r="A20" s="1"/>
      <c r="B20" s="2" t="s">
        <v>10</v>
      </c>
      <c r="C20" t="s">
        <v>23</v>
      </c>
      <c r="D20" s="2"/>
      <c r="E20" s="2"/>
      <c r="F20" s="2"/>
      <c r="J20" s="12"/>
      <c r="K20" s="12"/>
      <c r="L20" s="25"/>
      <c r="M20" s="26"/>
      <c r="N20" s="12">
        <f>K20/141</f>
        <v>0</v>
      </c>
      <c r="O20" s="12">
        <v>0</v>
      </c>
      <c r="P20" s="12"/>
      <c r="Q20" s="12"/>
      <c r="R20" s="12"/>
      <c r="S20" s="12"/>
      <c r="T20" s="25"/>
    </row>
    <row r="21" spans="1:20" s="2" customFormat="1" ht="12.75">
      <c r="A21" s="1"/>
      <c r="B21" s="2" t="s">
        <v>11</v>
      </c>
      <c r="C21" s="2" t="s">
        <v>29</v>
      </c>
      <c r="D21" s="2" t="e">
        <f>#REF!</f>
        <v>#REF!</v>
      </c>
      <c r="E21" s="2" t="e">
        <f>#REF!</f>
        <v>#REF!</v>
      </c>
      <c r="F21" s="2" t="e">
        <f>#REF!</f>
        <v>#REF!</v>
      </c>
      <c r="J21" s="13"/>
      <c r="K21" s="13" t="e">
        <f>D21*#REF!+E21*#REF!+F21*#REF!</f>
        <v>#REF!</v>
      </c>
      <c r="L21" s="50" t="e">
        <f>K21/K24</f>
        <v>#REF!</v>
      </c>
      <c r="M21" s="25"/>
      <c r="N21" s="13">
        <v>0</v>
      </c>
      <c r="O21" s="13" t="e">
        <f>K21/17</f>
        <v>#REF!</v>
      </c>
      <c r="P21" s="13"/>
      <c r="Q21" s="13"/>
      <c r="R21" s="13"/>
      <c r="S21" s="13"/>
      <c r="T21" s="25"/>
    </row>
    <row r="22" spans="1:20" ht="12.75">
      <c r="A22" s="1"/>
      <c r="B22" s="2" t="s">
        <v>68</v>
      </c>
      <c r="D22" s="2"/>
      <c r="E22" s="2"/>
      <c r="F22" s="2"/>
      <c r="J22" s="12"/>
      <c r="K22" s="12" t="e">
        <f>D22*#REF!+E22*#REF!+F22*#REF!</f>
        <v>#REF!</v>
      </c>
      <c r="L22" s="50" t="e">
        <f>K22/K24</f>
        <v>#REF!</v>
      </c>
      <c r="M22" s="26"/>
      <c r="N22" s="12" t="e">
        <f>K22/141</f>
        <v>#REF!</v>
      </c>
      <c r="O22" s="12">
        <v>0</v>
      </c>
      <c r="P22" s="12"/>
      <c r="Q22" s="12"/>
      <c r="R22" s="12"/>
      <c r="S22" s="12"/>
      <c r="T22" s="25"/>
    </row>
    <row r="23" spans="1:20" ht="12.75">
      <c r="A23" s="1"/>
      <c r="B23" s="2" t="s">
        <v>135</v>
      </c>
      <c r="D23" s="2"/>
      <c r="E23" s="2"/>
      <c r="F23" s="2"/>
      <c r="J23" s="12"/>
      <c r="K23" s="12">
        <v>0</v>
      </c>
      <c r="L23" s="50" t="e">
        <f>K23/K24</f>
        <v>#REF!</v>
      </c>
      <c r="M23" s="26"/>
      <c r="N23" s="12">
        <v>0</v>
      </c>
      <c r="O23" s="12">
        <v>0</v>
      </c>
      <c r="P23" s="12"/>
      <c r="Q23" s="12"/>
      <c r="R23" s="12"/>
      <c r="S23" s="12"/>
      <c r="T23" s="25"/>
    </row>
    <row r="24" spans="1:20" s="2" customFormat="1" ht="12.75">
      <c r="A24" s="1"/>
      <c r="B24" s="1"/>
      <c r="C24" s="1"/>
      <c r="D24" s="1"/>
      <c r="E24" s="1"/>
      <c r="F24" s="1"/>
      <c r="G24" s="1"/>
      <c r="H24" s="1"/>
      <c r="I24" s="1"/>
      <c r="J24" s="53"/>
      <c r="K24" s="11" t="e">
        <f>SUM(K20:K22)</f>
        <v>#REF!</v>
      </c>
      <c r="L24" s="51" t="e">
        <f>SUM(L21:L22)</f>
        <v>#REF!</v>
      </c>
      <c r="M24" s="28" t="e">
        <f>K24/K44</f>
        <v>#REF!</v>
      </c>
      <c r="N24" s="14" t="e">
        <f>SUM(N20:N22)</f>
        <v>#REF!</v>
      </c>
      <c r="O24" s="14" t="e">
        <f>SUM(O20:O22)</f>
        <v>#REF!</v>
      </c>
      <c r="P24" s="14" t="e">
        <f>O24+AVIN*N24</f>
        <v>#REF!</v>
      </c>
      <c r="Q24" s="14" t="e">
        <f>O24+AVIN*N24*Five</f>
        <v>#REF!</v>
      </c>
      <c r="R24" s="14" t="e">
        <f>O24+AVIN*N24*Ten</f>
        <v>#REF!</v>
      </c>
      <c r="S24" s="14" t="e">
        <f>O24+AVIN*N24*Twenty</f>
        <v>#REF!</v>
      </c>
      <c r="T24" s="51" t="e">
        <f>Q24/Q44</f>
        <v>#REF!</v>
      </c>
    </row>
    <row r="25" spans="10:20" ht="12.75">
      <c r="J25" s="12"/>
      <c r="K25" s="12"/>
      <c r="L25" s="26"/>
      <c r="M25" s="26"/>
      <c r="N25" s="12"/>
      <c r="O25" s="12"/>
      <c r="P25" s="12"/>
      <c r="Q25" s="12"/>
      <c r="R25" s="12"/>
      <c r="S25" s="12"/>
      <c r="T25" s="25"/>
    </row>
    <row r="26" spans="1:20" s="2" customFormat="1" ht="12.75">
      <c r="A26" s="1" t="s">
        <v>12</v>
      </c>
      <c r="J26" s="13"/>
      <c r="K26" s="13"/>
      <c r="L26" s="25"/>
      <c r="M26" s="25"/>
      <c r="N26" s="13"/>
      <c r="O26" s="13"/>
      <c r="P26" s="13"/>
      <c r="Q26" s="13"/>
      <c r="R26" s="13"/>
      <c r="S26" s="13"/>
      <c r="T26" s="25"/>
    </row>
    <row r="27" spans="1:20" s="2" customFormat="1" ht="12.75">
      <c r="A27" s="1"/>
      <c r="B27" s="2" t="s">
        <v>24</v>
      </c>
      <c r="C27" s="2" t="s">
        <v>25</v>
      </c>
      <c r="I27" s="2" t="e">
        <f>#REF!*0.05</f>
        <v>#REF!</v>
      </c>
      <c r="J27" s="13"/>
      <c r="K27" s="13" t="e">
        <f>I27*#REF!</f>
        <v>#REF!</v>
      </c>
      <c r="L27" s="50" t="e">
        <f>K27/K30</f>
        <v>#REF!</v>
      </c>
      <c r="M27" s="25"/>
      <c r="N27" s="13">
        <v>0</v>
      </c>
      <c r="O27" s="13" t="e">
        <f>K27/141</f>
        <v>#REF!</v>
      </c>
      <c r="P27" s="13"/>
      <c r="Q27" s="13"/>
      <c r="R27" s="13"/>
      <c r="S27" s="13"/>
      <c r="T27" s="25"/>
    </row>
    <row r="28" spans="1:20" s="2" customFormat="1" ht="12.75">
      <c r="A28" s="1"/>
      <c r="B28" s="2" t="s">
        <v>61</v>
      </c>
      <c r="C28" s="2" t="s">
        <v>64</v>
      </c>
      <c r="J28" s="13" t="e">
        <f>#REF!*0.05</f>
        <v>#REF!</v>
      </c>
      <c r="K28" s="13" t="e">
        <f>#REF!*0.05</f>
        <v>#REF!</v>
      </c>
      <c r="L28" s="50" t="e">
        <f>K28/K30</f>
        <v>#REF!</v>
      </c>
      <c r="M28" s="25"/>
      <c r="N28" s="12" t="e">
        <f>K28/141</f>
        <v>#REF!</v>
      </c>
      <c r="O28" s="13">
        <v>0</v>
      </c>
      <c r="P28" s="13"/>
      <c r="Q28" s="13"/>
      <c r="R28" s="13"/>
      <c r="S28" s="13"/>
      <c r="T28" s="25"/>
    </row>
    <row r="29" spans="1:21" ht="12.75">
      <c r="A29" s="1"/>
      <c r="B29" s="2" t="s">
        <v>15</v>
      </c>
      <c r="J29" s="12"/>
      <c r="K29" s="12" t="e">
        <f>D29*#REF!+E29*#REF!+F29*#REF!</f>
        <v>#REF!</v>
      </c>
      <c r="L29" s="50" t="e">
        <f>K29/K30</f>
        <v>#REF!</v>
      </c>
      <c r="M29" s="26"/>
      <c r="N29" s="12" t="e">
        <f>K29/141</f>
        <v>#REF!</v>
      </c>
      <c r="O29" s="12">
        <v>0</v>
      </c>
      <c r="P29" s="12"/>
      <c r="Q29" s="12"/>
      <c r="R29" s="12"/>
      <c r="S29" s="12"/>
      <c r="T29" s="25"/>
      <c r="U29" s="5"/>
    </row>
    <row r="30" spans="1:20" s="2" customFormat="1" ht="12.75">
      <c r="A30" s="1"/>
      <c r="B30" s="1"/>
      <c r="C30" s="1"/>
      <c r="D30" s="1"/>
      <c r="E30" s="1"/>
      <c r="F30" s="1"/>
      <c r="G30" s="1"/>
      <c r="H30" s="1"/>
      <c r="I30" s="1"/>
      <c r="J30" s="53"/>
      <c r="K30" s="11" t="e">
        <f>SUM(K27:K29)</f>
        <v>#REF!</v>
      </c>
      <c r="L30" s="51" t="e">
        <f>SUM(L27:L29)</f>
        <v>#REF!</v>
      </c>
      <c r="M30" s="28" t="e">
        <f>K30/K44</f>
        <v>#REF!</v>
      </c>
      <c r="N30" s="14" t="e">
        <f>SUM(N27:N29)</f>
        <v>#REF!</v>
      </c>
      <c r="O30" s="14" t="e">
        <f>SUM(O27:O29)</f>
        <v>#REF!</v>
      </c>
      <c r="P30" s="14" t="e">
        <f>O30+AVIN*N30</f>
        <v>#REF!</v>
      </c>
      <c r="Q30" s="14" t="e">
        <f>O30+AVIN*N30*Five</f>
        <v>#REF!</v>
      </c>
      <c r="R30" s="14" t="e">
        <f>O30+AVIN*N30*Ten</f>
        <v>#REF!</v>
      </c>
      <c r="S30" s="14" t="e">
        <f>O30+AVIN*N30*Twenty</f>
        <v>#REF!</v>
      </c>
      <c r="T30" s="51" t="e">
        <f>Q30/Q44</f>
        <v>#REF!</v>
      </c>
    </row>
    <row r="31" spans="10:20" ht="12.75">
      <c r="J31" s="12"/>
      <c r="K31" s="12"/>
      <c r="L31" s="26"/>
      <c r="M31" s="26"/>
      <c r="N31" s="12"/>
      <c r="O31" s="12"/>
      <c r="P31" s="12"/>
      <c r="Q31" s="12"/>
      <c r="R31" s="12"/>
      <c r="S31" s="12"/>
      <c r="T31" s="25"/>
    </row>
    <row r="32" spans="1:20" ht="12.75">
      <c r="A32" s="1" t="s">
        <v>16</v>
      </c>
      <c r="C32" s="2"/>
      <c r="D32" s="2"/>
      <c r="E32" s="2"/>
      <c r="F32" s="2"/>
      <c r="G32" s="2"/>
      <c r="H32" s="2"/>
      <c r="I32" s="2"/>
      <c r="J32" s="13"/>
      <c r="K32" s="13"/>
      <c r="L32" s="25"/>
      <c r="M32" s="25"/>
      <c r="N32" s="13"/>
      <c r="O32" s="13"/>
      <c r="P32" s="12"/>
      <c r="Q32" s="12"/>
      <c r="R32" s="12"/>
      <c r="S32" s="12"/>
      <c r="T32" s="25"/>
    </row>
    <row r="33" spans="1:20" s="2" customFormat="1" ht="12.75">
      <c r="A33" s="1"/>
      <c r="B33" s="2" t="s">
        <v>17</v>
      </c>
      <c r="C33" t="s">
        <v>63</v>
      </c>
      <c r="D33"/>
      <c r="E33"/>
      <c r="F33"/>
      <c r="G33"/>
      <c r="H33"/>
      <c r="I33"/>
      <c r="J33" s="12" t="e">
        <f>#REF!*0.95</f>
        <v>#REF!</v>
      </c>
      <c r="K33" s="12" t="e">
        <f>#REF!*0.95</f>
        <v>#REF!</v>
      </c>
      <c r="L33" s="50" t="e">
        <f>K33/K34</f>
        <v>#REF!</v>
      </c>
      <c r="M33" s="26"/>
      <c r="N33" s="12" t="e">
        <f>K33/141</f>
        <v>#REF!</v>
      </c>
      <c r="O33" s="12">
        <v>0</v>
      </c>
      <c r="P33" s="13"/>
      <c r="Q33" s="13"/>
      <c r="R33" s="13"/>
      <c r="S33" s="13"/>
      <c r="T33" s="25"/>
    </row>
    <row r="34" spans="1:20" ht="12.75">
      <c r="A34" s="1"/>
      <c r="B34" s="1"/>
      <c r="C34" s="1"/>
      <c r="D34" s="1"/>
      <c r="E34" s="1"/>
      <c r="F34" s="1"/>
      <c r="G34" s="1"/>
      <c r="H34" s="1"/>
      <c r="I34" s="1"/>
      <c r="J34" s="53"/>
      <c r="K34" s="11" t="e">
        <f>SUM(K33:K33)</f>
        <v>#REF!</v>
      </c>
      <c r="L34" s="51"/>
      <c r="M34" s="28" t="e">
        <f>K34/K44</f>
        <v>#REF!</v>
      </c>
      <c r="N34" s="14" t="e">
        <f>SUM(N33:N33)</f>
        <v>#REF!</v>
      </c>
      <c r="O34" s="14">
        <f>SUM(O33:O33)</f>
        <v>0</v>
      </c>
      <c r="P34" s="14" t="e">
        <f>O34+AVIN*N34</f>
        <v>#REF!</v>
      </c>
      <c r="Q34" s="14" t="e">
        <f>O34+AVIN*N34*Five</f>
        <v>#REF!</v>
      </c>
      <c r="R34" s="14" t="e">
        <f>O34+AVIN*N34*Ten</f>
        <v>#REF!</v>
      </c>
      <c r="S34" s="14" t="e">
        <f>O34+AVIN*N34*Twenty</f>
        <v>#REF!</v>
      </c>
      <c r="T34" s="51" t="e">
        <f>Q34/Q44</f>
        <v>#REF!</v>
      </c>
    </row>
    <row r="35" spans="10:20" ht="12.75">
      <c r="J35" s="12"/>
      <c r="K35" s="12"/>
      <c r="L35" s="26"/>
      <c r="M35" s="26"/>
      <c r="N35" s="12"/>
      <c r="O35" s="12"/>
      <c r="P35" s="12"/>
      <c r="Q35" s="12"/>
      <c r="R35" s="12"/>
      <c r="S35" s="12"/>
      <c r="T35" s="25"/>
    </row>
    <row r="36" spans="1:20" ht="12.75">
      <c r="A36" s="1" t="s">
        <v>18</v>
      </c>
      <c r="C36" s="2"/>
      <c r="D36" s="2"/>
      <c r="E36" s="2"/>
      <c r="F36" s="2"/>
      <c r="G36" s="2"/>
      <c r="H36" s="2"/>
      <c r="I36" s="2"/>
      <c r="J36" s="13"/>
      <c r="K36" s="13"/>
      <c r="L36" s="25"/>
      <c r="M36" s="25"/>
      <c r="N36" s="13"/>
      <c r="O36" s="13"/>
      <c r="P36" s="12"/>
      <c r="Q36" s="12"/>
      <c r="R36" s="12"/>
      <c r="S36" s="12"/>
      <c r="T36" s="25"/>
    </row>
    <row r="37" spans="1:20" ht="12.75">
      <c r="A37" s="1"/>
      <c r="B37" s="4" t="s">
        <v>134</v>
      </c>
      <c r="C37" s="2"/>
      <c r="D37" s="2"/>
      <c r="E37" s="2"/>
      <c r="F37" s="2"/>
      <c r="G37" s="2"/>
      <c r="H37" s="2"/>
      <c r="I37" s="2"/>
      <c r="J37" s="13"/>
      <c r="K37" s="13">
        <f>'LIFE Generic Preservation Model'!AA40/20000*141</f>
        <v>1877.4246575342477</v>
      </c>
      <c r="L37" s="50">
        <f>K37/K42</f>
        <v>0.3111598855991532</v>
      </c>
      <c r="M37" s="25"/>
      <c r="N37" s="13">
        <f>K37/141</f>
        <v>13.315068493150692</v>
      </c>
      <c r="O37" s="13"/>
      <c r="P37" s="26">
        <v>0.04562329825558648</v>
      </c>
      <c r="Q37" s="26">
        <v>0.12292134949226628</v>
      </c>
      <c r="R37" s="26">
        <v>0.1746444312460411</v>
      </c>
      <c r="S37" s="26">
        <v>0.2782000018663803</v>
      </c>
      <c r="T37" s="25"/>
    </row>
    <row r="38" spans="1:20" ht="12.75">
      <c r="A38" s="1"/>
      <c r="B38" s="4" t="s">
        <v>133</v>
      </c>
      <c r="C38" s="2"/>
      <c r="D38" s="2"/>
      <c r="E38" s="2"/>
      <c r="F38" s="2"/>
      <c r="G38" s="2"/>
      <c r="H38" s="2"/>
      <c r="I38" s="2"/>
      <c r="J38" s="13"/>
      <c r="K38" s="13">
        <f>'LIFE Generic Preservation Model'!AB40/20000*141</f>
        <v>426.02142857142843</v>
      </c>
      <c r="L38" s="50">
        <f>K38/K42</f>
        <v>0.07060777562769138</v>
      </c>
      <c r="M38" s="25"/>
      <c r="N38" s="13">
        <f>K38/141</f>
        <v>3.0214285714285705</v>
      </c>
      <c r="O38" s="13"/>
      <c r="P38" s="26">
        <v>0.6106105082403778</v>
      </c>
      <c r="Q38" s="26">
        <v>0.5273644042593381</v>
      </c>
      <c r="R38" s="26">
        <v>0.4454752532476798</v>
      </c>
      <c r="S38" s="26">
        <v>0.24125504161852498</v>
      </c>
      <c r="T38" s="25"/>
    </row>
    <row r="39" spans="1:20" ht="12.75">
      <c r="A39" s="1"/>
      <c r="B39" s="4" t="s">
        <v>135</v>
      </c>
      <c r="C39" s="2"/>
      <c r="D39" s="2"/>
      <c r="E39" s="2"/>
      <c r="F39" s="2"/>
      <c r="G39" s="2"/>
      <c r="H39" s="2"/>
      <c r="I39" s="2"/>
      <c r="J39" s="13"/>
      <c r="K39" s="13">
        <f>'LIFE Generic Preservation Model'!AC40/20000*141</f>
        <v>501.8385909980429</v>
      </c>
      <c r="L39" s="50">
        <f>K39/K42</f>
        <v>0.08317353132523389</v>
      </c>
      <c r="M39" s="25"/>
      <c r="N39" s="13">
        <f>K39/141</f>
        <v>3.559138943248531</v>
      </c>
      <c r="O39" s="13"/>
      <c r="P39" s="26">
        <v>0.047763650519428824</v>
      </c>
      <c r="Q39" s="26">
        <v>0.048590086387531116</v>
      </c>
      <c r="R39" s="26">
        <v>0.05278142810991468</v>
      </c>
      <c r="S39" s="26">
        <v>0.06676800044793127</v>
      </c>
      <c r="T39" s="25"/>
    </row>
    <row r="40" spans="1:20" ht="12.75">
      <c r="A40" s="1"/>
      <c r="B40" s="4" t="s">
        <v>136</v>
      </c>
      <c r="C40" s="2"/>
      <c r="D40" s="2"/>
      <c r="E40" s="2"/>
      <c r="F40" s="2"/>
      <c r="G40" s="2"/>
      <c r="H40" s="2"/>
      <c r="I40" s="2"/>
      <c r="J40" s="13"/>
      <c r="K40" s="13">
        <f>'LIFE Generic Preservation Model'!AD40/20000*141</f>
        <v>862.79927537594</v>
      </c>
      <c r="L40" s="50">
        <f>K40/K42</f>
        <v>0.1429982943622399</v>
      </c>
      <c r="M40" s="25"/>
      <c r="N40" s="13">
        <f>K40/141</f>
        <v>6.119143796992483</v>
      </c>
      <c r="O40" s="13"/>
      <c r="P40" s="26">
        <v>0.14697819365054887</v>
      </c>
      <c r="Q40" s="26">
        <v>0.14952130017069012</v>
      </c>
      <c r="R40" s="26">
        <v>0.16241888711450048</v>
      </c>
      <c r="S40" s="26">
        <v>0.20545833479591696</v>
      </c>
      <c r="T40" s="25"/>
    </row>
    <row r="41" spans="1:20" ht="12.75">
      <c r="A41" s="1"/>
      <c r="B41" s="4" t="s">
        <v>137</v>
      </c>
      <c r="C41" s="2"/>
      <c r="D41" s="2"/>
      <c r="E41" s="2"/>
      <c r="F41" s="2"/>
      <c r="G41" s="2"/>
      <c r="H41" s="2"/>
      <c r="I41" s="2"/>
      <c r="J41" s="13"/>
      <c r="K41" s="13">
        <f>'LIFE Generic Preservation Model'!AE40/20000*141</f>
        <v>2365.5493801691728</v>
      </c>
      <c r="L41" s="50">
        <f>K41/K42</f>
        <v>0.3920605130856818</v>
      </c>
      <c r="M41" s="25"/>
      <c r="N41" s="13">
        <f>K41/141</f>
        <v>16.776945958646614</v>
      </c>
      <c r="O41" s="13"/>
      <c r="P41" s="26">
        <v>0.14902434933405795</v>
      </c>
      <c r="Q41" s="26">
        <v>0.1516028596901745</v>
      </c>
      <c r="R41" s="26">
        <v>0.16468000028186394</v>
      </c>
      <c r="S41" s="26">
        <v>0.20831862127124626</v>
      </c>
      <c r="T41" s="25"/>
    </row>
    <row r="42" spans="1:20" ht="12.75">
      <c r="A42" s="1"/>
      <c r="B42" s="1"/>
      <c r="C42" s="1"/>
      <c r="D42" s="1"/>
      <c r="E42" s="1"/>
      <c r="F42" s="1"/>
      <c r="G42" s="1"/>
      <c r="H42" s="1"/>
      <c r="I42" s="1"/>
      <c r="J42" s="53"/>
      <c r="K42" s="11">
        <f>SUM(K37:K41)</f>
        <v>6033.633332648831</v>
      </c>
      <c r="L42" s="52">
        <f>SUM(L37:L41)</f>
        <v>1</v>
      </c>
      <c r="M42" s="28" t="e">
        <f>K42/K44</f>
        <v>#REF!</v>
      </c>
      <c r="N42" s="14">
        <f>SUM(N37:N41)</f>
        <v>42.791725763466886</v>
      </c>
      <c r="O42" s="14">
        <v>0</v>
      </c>
      <c r="P42" s="14" t="e">
        <f>O42+AVIN*N42</f>
        <v>#REF!</v>
      </c>
      <c r="Q42" s="14" t="e">
        <f>O42+AVIN*N42*Five</f>
        <v>#REF!</v>
      </c>
      <c r="R42" s="14" t="e">
        <f>O42+AVIN*N42*Ten</f>
        <v>#REF!</v>
      </c>
      <c r="S42" s="14" t="e">
        <f>O42+AVIN*N42*Twenty</f>
        <v>#REF!</v>
      </c>
      <c r="T42" s="51" t="e">
        <f>Q42/Q44</f>
        <v>#REF!</v>
      </c>
    </row>
    <row r="43" spans="10:20" ht="12.75">
      <c r="J43" s="12"/>
      <c r="K43" s="12"/>
      <c r="L43" s="26"/>
      <c r="M43" s="26"/>
      <c r="N43" s="12"/>
      <c r="O43" s="12"/>
      <c r="P43" s="12"/>
      <c r="Q43" s="12"/>
      <c r="R43" s="12"/>
      <c r="S43" s="12"/>
      <c r="T43" s="25"/>
    </row>
    <row r="44" spans="1:20" ht="12.75">
      <c r="A44" s="27"/>
      <c r="B44" s="27"/>
      <c r="C44" s="27"/>
      <c r="D44" s="27"/>
      <c r="E44" s="27"/>
      <c r="F44" s="27"/>
      <c r="G44" s="27"/>
      <c r="H44" s="27"/>
      <c r="I44" s="42" t="s">
        <v>32</v>
      </c>
      <c r="J44" s="54"/>
      <c r="K44" s="15" t="e">
        <f>K11+K17+K24+K30+K34+K42</f>
        <v>#REF!</v>
      </c>
      <c r="L44" s="41"/>
      <c r="M44" s="28" t="e">
        <f>SUM(M5:M43)</f>
        <v>#REF!</v>
      </c>
      <c r="N44" s="15" t="e">
        <f>N11+N17+N24+N30+N34+N42</f>
        <v>#REF!</v>
      </c>
      <c r="O44" s="15" t="e">
        <f>O11+O17+O24+O30+O34+O42</f>
        <v>#REF!</v>
      </c>
      <c r="P44" s="38" t="e">
        <f>SUM(P5:P43)</f>
        <v>#REF!</v>
      </c>
      <c r="Q44" s="38" t="e">
        <f>SUM(Q5:Q43)</f>
        <v>#REF!</v>
      </c>
      <c r="R44" s="38" t="e">
        <f>SUM(R5:R43)</f>
        <v>#REF!</v>
      </c>
      <c r="S44" s="38" t="e">
        <f>SUM(S5:S43)</f>
        <v>#REF!</v>
      </c>
      <c r="T44" s="51" t="e">
        <f>SUM(T11:T42)</f>
        <v>#REF!</v>
      </c>
    </row>
    <row r="45" spans="11:12" ht="12.75">
      <c r="K45" s="5"/>
      <c r="L45" s="5"/>
    </row>
  </sheetData>
  <printOptions/>
  <pageMargins left="0.75" right="0.75" top="1" bottom="1" header="0.5" footer="0.5"/>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pageSetUpPr fitToPage="1"/>
  </sheetPr>
  <dimension ref="A1:AQ51"/>
  <sheetViews>
    <sheetView tabSelected="1" workbookViewId="0" topLeftCell="A1">
      <selection activeCell="G4" sqref="G4"/>
    </sheetView>
  </sheetViews>
  <sheetFormatPr defaultColWidth="9.140625" defaultRowHeight="12.75"/>
  <cols>
    <col min="1" max="1" width="20.57421875" style="0" customWidth="1"/>
    <col min="2" max="3" width="11.28125" style="0" customWidth="1"/>
    <col min="4" max="4" width="12.140625" style="0" customWidth="1"/>
    <col min="5" max="5" width="12.7109375" style="0" customWidth="1"/>
    <col min="6" max="6" width="10.421875" style="0" customWidth="1"/>
    <col min="7" max="7" width="11.57421875" style="0" customWidth="1"/>
    <col min="8" max="8" width="12.00390625" style="0" customWidth="1"/>
    <col min="9" max="9" width="12.28125" style="0" customWidth="1"/>
    <col min="10" max="10" width="10.140625" style="0" customWidth="1"/>
    <col min="11" max="17" width="12.57421875" style="0" customWidth="1"/>
    <col min="18" max="24" width="12.28125" style="0" customWidth="1"/>
    <col min="25" max="30" width="11.421875" style="0" customWidth="1"/>
    <col min="31" max="31" width="11.8515625" style="0" customWidth="1"/>
    <col min="32" max="36" width="11.140625" style="0" customWidth="1"/>
    <col min="37" max="37" width="12.00390625" style="0" customWidth="1"/>
  </cols>
  <sheetData>
    <row r="1" spans="1:4" ht="15.75">
      <c r="A1" s="16" t="s">
        <v>37</v>
      </c>
      <c r="D1" t="s">
        <v>153</v>
      </c>
    </row>
    <row r="2" spans="1:43" ht="12.75">
      <c r="A2" s="6"/>
      <c r="B2" s="6"/>
      <c r="C2" s="6"/>
      <c r="D2" s="6"/>
      <c r="E2" s="6"/>
      <c r="F2" s="6"/>
      <c r="G2" s="6"/>
      <c r="H2" s="6"/>
      <c r="I2" s="6"/>
      <c r="J2" s="6"/>
      <c r="K2" s="6" t="s">
        <v>50</v>
      </c>
      <c r="L2" s="6"/>
      <c r="M2" s="6"/>
      <c r="N2" s="6"/>
      <c r="O2" s="6"/>
      <c r="P2" s="6"/>
      <c r="Q2" s="6"/>
      <c r="R2" s="6"/>
      <c r="S2" s="6"/>
      <c r="T2" s="6"/>
      <c r="U2" s="6"/>
      <c r="V2" s="6"/>
      <c r="W2" s="6"/>
      <c r="X2" s="6"/>
      <c r="Y2" s="6"/>
      <c r="Z2" s="6"/>
      <c r="AA2" s="6"/>
      <c r="AB2" s="6"/>
      <c r="AC2" s="6"/>
      <c r="AD2" s="6"/>
      <c r="AE2" s="6"/>
      <c r="AF2" s="6"/>
      <c r="AG2" s="6"/>
      <c r="AH2" s="6"/>
      <c r="AI2" s="6"/>
      <c r="AJ2" s="6"/>
      <c r="AK2" s="6"/>
      <c r="AL2" s="6"/>
      <c r="AM2" s="23"/>
      <c r="AN2" s="23"/>
      <c r="AO2" s="23"/>
      <c r="AP2" s="23"/>
      <c r="AQ2" s="2"/>
    </row>
    <row r="3" spans="1:43" ht="66.75" customHeight="1">
      <c r="A3" s="31" t="s">
        <v>72</v>
      </c>
      <c r="B3" s="31" t="s">
        <v>49</v>
      </c>
      <c r="C3" s="31" t="s">
        <v>112</v>
      </c>
      <c r="D3" s="31" t="s">
        <v>113</v>
      </c>
      <c r="E3" s="40" t="s">
        <v>161</v>
      </c>
      <c r="F3" s="40" t="s">
        <v>129</v>
      </c>
      <c r="G3" s="40" t="s">
        <v>146</v>
      </c>
      <c r="H3" s="40" t="s">
        <v>145</v>
      </c>
      <c r="I3" s="40" t="s">
        <v>152</v>
      </c>
      <c r="J3" s="40" t="s">
        <v>151</v>
      </c>
      <c r="K3" s="6">
        <f>One</f>
        <v>1</v>
      </c>
      <c r="L3" s="40" t="s">
        <v>161</v>
      </c>
      <c r="M3" s="40" t="s">
        <v>129</v>
      </c>
      <c r="N3" s="40" t="s">
        <v>146</v>
      </c>
      <c r="O3" s="40" t="s">
        <v>145</v>
      </c>
      <c r="P3" s="40" t="s">
        <v>152</v>
      </c>
      <c r="Q3" s="40" t="s">
        <v>151</v>
      </c>
      <c r="R3" s="6">
        <f>Five</f>
        <v>5</v>
      </c>
      <c r="S3" s="40" t="s">
        <v>161</v>
      </c>
      <c r="T3" s="40" t="s">
        <v>129</v>
      </c>
      <c r="U3" s="40" t="s">
        <v>146</v>
      </c>
      <c r="V3" s="40" t="s">
        <v>145</v>
      </c>
      <c r="W3" s="40" t="s">
        <v>152</v>
      </c>
      <c r="X3" s="40" t="s">
        <v>151</v>
      </c>
      <c r="Y3" s="6">
        <f>Ten</f>
        <v>10</v>
      </c>
      <c r="Z3" s="40" t="s">
        <v>161</v>
      </c>
      <c r="AA3" s="40" t="s">
        <v>129</v>
      </c>
      <c r="AB3" s="40" t="s">
        <v>146</v>
      </c>
      <c r="AC3" s="40" t="s">
        <v>145</v>
      </c>
      <c r="AD3" s="40" t="s">
        <v>152</v>
      </c>
      <c r="AE3" s="40" t="s">
        <v>151</v>
      </c>
      <c r="AF3" s="6">
        <f>Twenty</f>
        <v>20</v>
      </c>
      <c r="AG3" s="4"/>
      <c r="AH3" s="4"/>
      <c r="AI3" s="4"/>
      <c r="AJ3" s="4"/>
      <c r="AK3" s="6"/>
      <c r="AM3" s="9"/>
      <c r="AN3" s="9"/>
      <c r="AO3" s="9"/>
      <c r="AP3" s="9"/>
      <c r="AQ3" s="9"/>
    </row>
    <row r="4" spans="1:43" ht="12.75">
      <c r="A4" t="s">
        <v>75</v>
      </c>
      <c r="B4" s="18">
        <v>0.3</v>
      </c>
      <c r="C4">
        <v>222882</v>
      </c>
      <c r="D4" s="19">
        <f>1000/38*C4</f>
        <v>5865315.789473684</v>
      </c>
      <c r="E4" s="21">
        <f aca="true" t="shared" si="0" ref="E4:E39">(One/(BLE+FSF*One)+PON)</f>
        <v>0.33264462809917356</v>
      </c>
      <c r="F4" s="33">
        <f aca="true" t="shared" si="1" ref="F4:F39">TEW*One*POC</f>
        <v>369.86301369863014</v>
      </c>
      <c r="G4" s="33">
        <f aca="true" t="shared" si="2" ref="G4:G39">COA*E4*POC</f>
        <v>332.64462809917353</v>
      </c>
      <c r="H4" s="33">
        <f aca="true" t="shared" si="3" ref="H4:H39">(PLA*E4+PLN*(Five-E4))*POC*B4</f>
        <v>258.7512736329673</v>
      </c>
      <c r="I4" s="33">
        <f aca="true" t="shared" si="4" ref="I4:I39">E4*(POM*(FCM/D4+PUM)*D4)</f>
        <v>19567.207481513702</v>
      </c>
      <c r="J4" s="33">
        <f>BCT*B4*D4*E4</f>
        <v>58531.97368421052</v>
      </c>
      <c r="K4" s="29">
        <f>SUM(F4:J4)</f>
        <v>79060.44008115499</v>
      </c>
      <c r="L4" s="21">
        <f aca="true" t="shared" si="5" ref="L4:L39">(Five/(BLE+FSF*Five)+PON)</f>
        <v>0.65</v>
      </c>
      <c r="M4" s="33">
        <f aca="true" t="shared" si="6" ref="M4:M39">TEW*Five*POC</f>
        <v>1849.3150684931506</v>
      </c>
      <c r="N4" s="33">
        <f aca="true" t="shared" si="7" ref="N4:N39">COA*L4*POC</f>
        <v>650</v>
      </c>
      <c r="O4" s="33">
        <f aca="true" t="shared" si="8" ref="O4:O39">(PLA*L4+PLN*(Five-L4))*POC*B4</f>
        <v>329.1780821917808</v>
      </c>
      <c r="P4" s="33">
        <f aca="true" t="shared" si="9" ref="P4:P39">L4*(POM*(FCM/D4+PUM)*D4)</f>
        <v>38235.05263157895</v>
      </c>
      <c r="Q4" s="33">
        <f aca="true" t="shared" si="10" ref="Q4:Q39">BCT*B4*D4*L4</f>
        <v>114373.65789473683</v>
      </c>
      <c r="R4" s="29">
        <f>SUM(M4:Q4)</f>
        <v>155437.2036770007</v>
      </c>
      <c r="S4" s="21">
        <f aca="true" t="shared" si="11" ref="S4:S39">(Ten/(BLE+FSF*Ten)+PON)</f>
        <v>1.0192307692307692</v>
      </c>
      <c r="T4" s="33">
        <f aca="true" t="shared" si="12" ref="T4:T39">TEW*Ten*POC</f>
        <v>3698.6301369863013</v>
      </c>
      <c r="U4" s="33">
        <f aca="true" t="shared" si="13" ref="U4:U39">COA*S4*POC</f>
        <v>1019.2307692307692</v>
      </c>
      <c r="V4" s="33">
        <f aca="true" t="shared" si="14" ref="V4:V39">(PLA*S4+PLN*(Ten-S4))*POC*B4</f>
        <v>596.0484720758693</v>
      </c>
      <c r="W4" s="33">
        <f aca="true" t="shared" si="15" ref="W4:W39">S4*(POM*(FCM/D4+PUM)*D4)</f>
        <v>59954.37246963562</v>
      </c>
      <c r="X4" s="33">
        <f aca="true" t="shared" si="16" ref="X4:X39">BCT*B4*D4*S4</f>
        <v>179343.30971659915</v>
      </c>
      <c r="Y4" s="29">
        <f>SUM(T4:X4)</f>
        <v>244611.5915645277</v>
      </c>
      <c r="Z4" s="34">
        <f aca="true" t="shared" si="17" ref="Z4:Z39">(Twenty/(BLE+FSF*Twenty)+PON)</f>
        <v>1.6785714285714286</v>
      </c>
      <c r="AA4" s="33">
        <f aca="true" t="shared" si="18" ref="AA4:AA39">TEW*Twenty*POC</f>
        <v>7397.260273972603</v>
      </c>
      <c r="AB4" s="33">
        <f aca="true" t="shared" si="19" ref="AB4:AB39">COA*Z4*POC</f>
        <v>1678.5714285714287</v>
      </c>
      <c r="AC4" s="33">
        <f aca="true" t="shared" si="20" ref="AC4:AC39">(PLA*Z4+PLN*(Twenty-Z4))*POC*B4</f>
        <v>1112.2309197651664</v>
      </c>
      <c r="AD4" s="33">
        <f aca="true" t="shared" si="21" ref="AD4:AD39">Z4*(POM*(FCM/D4+PUM)*D4)</f>
        <v>98738.87218045113</v>
      </c>
      <c r="AE4" s="33">
        <f aca="true" t="shared" si="22" ref="AE4:AE39">BCT*D4*B4*Z4</f>
        <v>295360.545112782</v>
      </c>
      <c r="AF4" s="29">
        <f>SUM(AA4:AE4)</f>
        <v>404287.4799155423</v>
      </c>
      <c r="AG4" s="19"/>
      <c r="AH4" s="21"/>
      <c r="AI4" s="21"/>
      <c r="AJ4" s="22"/>
      <c r="AK4" s="17"/>
      <c r="AM4" s="2"/>
      <c r="AN4" s="2"/>
      <c r="AO4" s="24"/>
      <c r="AP4" s="24"/>
      <c r="AQ4" s="24"/>
    </row>
    <row r="5" spans="1:43" ht="12.75">
      <c r="A5" t="s">
        <v>76</v>
      </c>
      <c r="B5" s="18">
        <f>Bitmap</f>
        <v>0.2</v>
      </c>
      <c r="C5">
        <v>14837</v>
      </c>
      <c r="D5" s="19">
        <f aca="true" t="shared" si="23" ref="D5:D39">1000/38*C5</f>
        <v>390447.3684210526</v>
      </c>
      <c r="E5" s="21">
        <f t="shared" si="0"/>
        <v>0.33264462809917356</v>
      </c>
      <c r="F5" s="33">
        <f t="shared" si="1"/>
        <v>369.86301369863014</v>
      </c>
      <c r="G5" s="33">
        <f t="shared" si="2"/>
        <v>332.64462809917353</v>
      </c>
      <c r="H5" s="33">
        <f t="shared" si="3"/>
        <v>172.50084908864488</v>
      </c>
      <c r="I5" s="33">
        <f t="shared" si="4"/>
        <v>1355.35178338408</v>
      </c>
      <c r="J5" s="33">
        <f aca="true" t="shared" si="24" ref="J5:J39">BCT*B5*D5*E5</f>
        <v>2597.604393214441</v>
      </c>
      <c r="K5" s="29">
        <f aca="true" t="shared" si="25" ref="K5:K39">SUM(F5:J5)</f>
        <v>4827.96466748497</v>
      </c>
      <c r="L5" s="21">
        <f t="shared" si="5"/>
        <v>0.65</v>
      </c>
      <c r="M5" s="33">
        <f t="shared" si="6"/>
        <v>1849.3150684931506</v>
      </c>
      <c r="N5" s="33">
        <f t="shared" si="7"/>
        <v>650</v>
      </c>
      <c r="O5" s="33">
        <f t="shared" si="8"/>
        <v>219.45205479452054</v>
      </c>
      <c r="P5" s="33">
        <f t="shared" si="9"/>
        <v>2648.4078947368416</v>
      </c>
      <c r="Q5" s="33">
        <f t="shared" si="10"/>
        <v>5075.815789473685</v>
      </c>
      <c r="R5" s="29">
        <f aca="true" t="shared" si="26" ref="R5:R39">SUM(M5:Q5)</f>
        <v>10442.990807498198</v>
      </c>
      <c r="S5" s="21">
        <f t="shared" si="11"/>
        <v>1.0192307692307692</v>
      </c>
      <c r="T5" s="33">
        <f t="shared" si="12"/>
        <v>3698.6301369863013</v>
      </c>
      <c r="U5" s="33">
        <f t="shared" si="13"/>
        <v>1019.2307692307692</v>
      </c>
      <c r="V5" s="33">
        <f t="shared" si="14"/>
        <v>397.3656480505796</v>
      </c>
      <c r="W5" s="33">
        <f t="shared" si="15"/>
        <v>4152.82894736842</v>
      </c>
      <c r="X5" s="33">
        <f t="shared" si="16"/>
        <v>7959.119433198381</v>
      </c>
      <c r="Y5" s="29">
        <f aca="true" t="shared" si="27" ref="Y5:Y39">SUM(T5:X5)</f>
        <v>17227.174934834453</v>
      </c>
      <c r="Z5" s="34">
        <f t="shared" si="17"/>
        <v>1.6785714285714286</v>
      </c>
      <c r="AA5" s="33">
        <f t="shared" si="18"/>
        <v>7397.260273972603</v>
      </c>
      <c r="AB5" s="33">
        <f t="shared" si="19"/>
        <v>1678.5714285714287</v>
      </c>
      <c r="AC5" s="33">
        <f t="shared" si="20"/>
        <v>741.4872798434443</v>
      </c>
      <c r="AD5" s="33">
        <f t="shared" si="21"/>
        <v>6839.295112781954</v>
      </c>
      <c r="AE5" s="33">
        <f t="shared" si="22"/>
        <v>13107.875939849624</v>
      </c>
      <c r="AF5" s="29">
        <f aca="true" t="shared" si="28" ref="AF5:AF39">SUM(AA5:AE5)</f>
        <v>29764.49003501906</v>
      </c>
      <c r="AG5" s="19"/>
      <c r="AH5" s="21"/>
      <c r="AI5" s="21"/>
      <c r="AJ5" s="22"/>
      <c r="AK5" s="17"/>
      <c r="AM5" s="2"/>
      <c r="AN5" s="2"/>
      <c r="AO5" s="24"/>
      <c r="AP5" s="24"/>
      <c r="AQ5" s="24"/>
    </row>
    <row r="6" spans="1:43" ht="12.75">
      <c r="A6" t="s">
        <v>77</v>
      </c>
      <c r="B6" s="18">
        <f>Bitmap</f>
        <v>0.2</v>
      </c>
      <c r="C6">
        <v>8553</v>
      </c>
      <c r="D6" s="19">
        <f t="shared" si="23"/>
        <v>225078.94736842104</v>
      </c>
      <c r="E6" s="21">
        <f t="shared" si="0"/>
        <v>0.33264462809917356</v>
      </c>
      <c r="F6" s="33">
        <f t="shared" si="1"/>
        <v>369.86301369863014</v>
      </c>
      <c r="G6" s="33">
        <f t="shared" si="2"/>
        <v>332.64462809917353</v>
      </c>
      <c r="H6" s="33">
        <f t="shared" si="3"/>
        <v>172.50084908864488</v>
      </c>
      <c r="I6" s="33">
        <f t="shared" si="4"/>
        <v>805.2626141800782</v>
      </c>
      <c r="J6" s="33">
        <f t="shared" si="24"/>
        <v>1497.4260548064378</v>
      </c>
      <c r="K6" s="29">
        <f t="shared" si="25"/>
        <v>3177.697159872964</v>
      </c>
      <c r="L6" s="21">
        <f t="shared" si="5"/>
        <v>0.65</v>
      </c>
      <c r="M6" s="33">
        <f t="shared" si="6"/>
        <v>1849.3150684931506</v>
      </c>
      <c r="N6" s="33">
        <f t="shared" si="7"/>
        <v>650</v>
      </c>
      <c r="O6" s="33">
        <f t="shared" si="8"/>
        <v>219.45205479452054</v>
      </c>
      <c r="P6" s="33">
        <f t="shared" si="9"/>
        <v>1573.5131578947369</v>
      </c>
      <c r="Q6" s="33">
        <f t="shared" si="10"/>
        <v>2926.026315789474</v>
      </c>
      <c r="R6" s="29">
        <f t="shared" si="26"/>
        <v>7218.306596971882</v>
      </c>
      <c r="S6" s="21">
        <f t="shared" si="11"/>
        <v>1.0192307692307692</v>
      </c>
      <c r="T6" s="33">
        <f t="shared" si="12"/>
        <v>3698.6301369863013</v>
      </c>
      <c r="U6" s="33">
        <f t="shared" si="13"/>
        <v>1019.2307692307692</v>
      </c>
      <c r="V6" s="33">
        <f t="shared" si="14"/>
        <v>397.3656480505796</v>
      </c>
      <c r="W6" s="33">
        <f t="shared" si="15"/>
        <v>2467.3431174089064</v>
      </c>
      <c r="X6" s="33">
        <f t="shared" si="16"/>
        <v>4588.147773279353</v>
      </c>
      <c r="Y6" s="29">
        <f t="shared" si="27"/>
        <v>12170.71744495591</v>
      </c>
      <c r="Z6" s="34">
        <f t="shared" si="17"/>
        <v>1.6785714285714286</v>
      </c>
      <c r="AA6" s="33">
        <f t="shared" si="18"/>
        <v>7397.260273972603</v>
      </c>
      <c r="AB6" s="33">
        <f t="shared" si="19"/>
        <v>1678.5714285714287</v>
      </c>
      <c r="AC6" s="33">
        <f t="shared" si="20"/>
        <v>741.4872798434443</v>
      </c>
      <c r="AD6" s="33">
        <f t="shared" si="21"/>
        <v>4063.468045112782</v>
      </c>
      <c r="AE6" s="33">
        <f t="shared" si="22"/>
        <v>7556.2218045112795</v>
      </c>
      <c r="AF6" s="29">
        <f t="shared" si="28"/>
        <v>21437.00883201154</v>
      </c>
      <c r="AG6" s="19"/>
      <c r="AH6" s="21"/>
      <c r="AI6" s="21"/>
      <c r="AJ6" s="22"/>
      <c r="AK6" s="17"/>
      <c r="AM6" s="2"/>
      <c r="AN6" s="2"/>
      <c r="AO6" s="24"/>
      <c r="AP6" s="24"/>
      <c r="AQ6" s="24"/>
    </row>
    <row r="7" spans="1:43" ht="12.75">
      <c r="A7" t="s">
        <v>78</v>
      </c>
      <c r="B7" s="18">
        <f>Document</f>
        <v>0.8</v>
      </c>
      <c r="C7">
        <v>2283</v>
      </c>
      <c r="D7" s="19">
        <f t="shared" si="23"/>
        <v>60078.947368421046</v>
      </c>
      <c r="E7" s="21">
        <f t="shared" si="0"/>
        <v>0.33264462809917356</v>
      </c>
      <c r="F7" s="33">
        <f t="shared" si="1"/>
        <v>369.86301369863014</v>
      </c>
      <c r="G7" s="33">
        <f t="shared" si="2"/>
        <v>332.64462809917353</v>
      </c>
      <c r="H7" s="33">
        <f t="shared" si="3"/>
        <v>690.0033963545795</v>
      </c>
      <c r="I7" s="33">
        <f t="shared" si="4"/>
        <v>256.3989778164419</v>
      </c>
      <c r="J7" s="33">
        <f t="shared" si="24"/>
        <v>1598.7951283166597</v>
      </c>
      <c r="K7" s="29">
        <f t="shared" si="25"/>
        <v>3247.7051442854845</v>
      </c>
      <c r="L7" s="21">
        <f t="shared" si="5"/>
        <v>0.65</v>
      </c>
      <c r="M7" s="33">
        <f t="shared" si="6"/>
        <v>1849.3150684931506</v>
      </c>
      <c r="N7" s="33">
        <f t="shared" si="7"/>
        <v>650</v>
      </c>
      <c r="O7" s="33">
        <f t="shared" si="8"/>
        <v>877.8082191780821</v>
      </c>
      <c r="P7" s="33">
        <f t="shared" si="9"/>
        <v>501.01315789473676</v>
      </c>
      <c r="Q7" s="33">
        <f t="shared" si="10"/>
        <v>3124.1052631578955</v>
      </c>
      <c r="R7" s="29">
        <f t="shared" si="26"/>
        <v>7002.241708723865</v>
      </c>
      <c r="S7" s="21">
        <f t="shared" si="11"/>
        <v>1.0192307692307692</v>
      </c>
      <c r="T7" s="33">
        <f t="shared" si="12"/>
        <v>3698.6301369863013</v>
      </c>
      <c r="U7" s="33">
        <f t="shared" si="13"/>
        <v>1019.2307692307692</v>
      </c>
      <c r="V7" s="33">
        <f t="shared" si="14"/>
        <v>1589.4625922023183</v>
      </c>
      <c r="W7" s="33">
        <f t="shared" si="15"/>
        <v>785.6123481781375</v>
      </c>
      <c r="X7" s="33">
        <f t="shared" si="16"/>
        <v>4898.744939271256</v>
      </c>
      <c r="Y7" s="29">
        <f t="shared" si="27"/>
        <v>11991.680785868783</v>
      </c>
      <c r="Z7" s="34">
        <f t="shared" si="17"/>
        <v>1.6785714285714286</v>
      </c>
      <c r="AA7" s="33">
        <f t="shared" si="18"/>
        <v>7397.260273972603</v>
      </c>
      <c r="AB7" s="33">
        <f t="shared" si="19"/>
        <v>1678.5714285714287</v>
      </c>
      <c r="AC7" s="33">
        <f t="shared" si="20"/>
        <v>2965.949119373777</v>
      </c>
      <c r="AD7" s="33">
        <f t="shared" si="21"/>
        <v>1293.8251879699246</v>
      </c>
      <c r="AE7" s="33">
        <f t="shared" si="22"/>
        <v>8067.744360902256</v>
      </c>
      <c r="AF7" s="29">
        <f t="shared" si="28"/>
        <v>21403.35037078999</v>
      </c>
      <c r="AG7" s="19"/>
      <c r="AH7" s="21"/>
      <c r="AI7" s="21"/>
      <c r="AJ7" s="22"/>
      <c r="AK7" s="17"/>
      <c r="AM7" s="2"/>
      <c r="AN7" s="2"/>
      <c r="AO7" s="24"/>
      <c r="AP7" s="24"/>
      <c r="AQ7" s="24"/>
    </row>
    <row r="8" spans="1:43" ht="12.75">
      <c r="A8" t="s">
        <v>79</v>
      </c>
      <c r="B8" s="18">
        <f>Document</f>
        <v>0.8</v>
      </c>
      <c r="C8">
        <v>1520</v>
      </c>
      <c r="D8" s="19">
        <f t="shared" si="23"/>
        <v>40000</v>
      </c>
      <c r="E8" s="21">
        <f t="shared" si="0"/>
        <v>0.33264462809917356</v>
      </c>
      <c r="F8" s="33">
        <f t="shared" si="1"/>
        <v>369.86301369863014</v>
      </c>
      <c r="G8" s="33">
        <f t="shared" si="2"/>
        <v>332.64462809917353</v>
      </c>
      <c r="H8" s="33">
        <f t="shared" si="3"/>
        <v>690.0033963545795</v>
      </c>
      <c r="I8" s="33">
        <f t="shared" si="4"/>
        <v>189.60743801652893</v>
      </c>
      <c r="J8" s="33">
        <f t="shared" si="24"/>
        <v>1064.4628099173556</v>
      </c>
      <c r="K8" s="29">
        <f t="shared" si="25"/>
        <v>2646.581286086268</v>
      </c>
      <c r="L8" s="21">
        <f t="shared" si="5"/>
        <v>0.65</v>
      </c>
      <c r="M8" s="33">
        <f t="shared" si="6"/>
        <v>1849.3150684931506</v>
      </c>
      <c r="N8" s="33">
        <f t="shared" si="7"/>
        <v>650</v>
      </c>
      <c r="O8" s="33">
        <f t="shared" si="8"/>
        <v>877.8082191780821</v>
      </c>
      <c r="P8" s="33">
        <f t="shared" si="9"/>
        <v>370.5</v>
      </c>
      <c r="Q8" s="33">
        <f t="shared" si="10"/>
        <v>2080.0000000000005</v>
      </c>
      <c r="R8" s="29">
        <f t="shared" si="26"/>
        <v>5827.623287671233</v>
      </c>
      <c r="S8" s="21">
        <f t="shared" si="11"/>
        <v>1.0192307692307692</v>
      </c>
      <c r="T8" s="33">
        <f t="shared" si="12"/>
        <v>3698.6301369863013</v>
      </c>
      <c r="U8" s="33">
        <f t="shared" si="13"/>
        <v>1019.2307692307692</v>
      </c>
      <c r="V8" s="33">
        <f t="shared" si="14"/>
        <v>1589.4625922023183</v>
      </c>
      <c r="W8" s="33">
        <f t="shared" si="15"/>
        <v>580.9615384615385</v>
      </c>
      <c r="X8" s="33">
        <f t="shared" si="16"/>
        <v>3261.538461538462</v>
      </c>
      <c r="Y8" s="29">
        <f t="shared" si="27"/>
        <v>10149.82349841939</v>
      </c>
      <c r="Z8" s="34">
        <f t="shared" si="17"/>
        <v>1.6785714285714286</v>
      </c>
      <c r="AA8" s="33">
        <f t="shared" si="18"/>
        <v>7397.260273972603</v>
      </c>
      <c r="AB8" s="33">
        <f t="shared" si="19"/>
        <v>1678.5714285714287</v>
      </c>
      <c r="AC8" s="33">
        <f t="shared" si="20"/>
        <v>2965.949119373777</v>
      </c>
      <c r="AD8" s="33">
        <f t="shared" si="21"/>
        <v>956.7857142857143</v>
      </c>
      <c r="AE8" s="33">
        <f t="shared" si="22"/>
        <v>5371.428571428572</v>
      </c>
      <c r="AF8" s="29">
        <f t="shared" si="28"/>
        <v>18369.995107632094</v>
      </c>
      <c r="AG8" s="19"/>
      <c r="AH8" s="21"/>
      <c r="AI8" s="21"/>
      <c r="AJ8" s="22"/>
      <c r="AK8" s="17"/>
      <c r="AM8" s="2"/>
      <c r="AN8" s="2"/>
      <c r="AO8" s="24"/>
      <c r="AP8" s="24"/>
      <c r="AQ8" s="24"/>
    </row>
    <row r="9" spans="1:43" ht="12.75">
      <c r="A9" t="s">
        <v>80</v>
      </c>
      <c r="B9" s="18">
        <f>Simple</f>
        <v>0.1</v>
      </c>
      <c r="C9">
        <v>1219</v>
      </c>
      <c r="D9" s="19">
        <f t="shared" si="23"/>
        <v>32078.94736842105</v>
      </c>
      <c r="E9" s="21">
        <f t="shared" si="0"/>
        <v>0.33264462809917356</v>
      </c>
      <c r="F9" s="33">
        <f t="shared" si="1"/>
        <v>369.86301369863014</v>
      </c>
      <c r="G9" s="33">
        <f t="shared" si="2"/>
        <v>332.64462809917353</v>
      </c>
      <c r="H9" s="33">
        <f t="shared" si="3"/>
        <v>86.25042454432244</v>
      </c>
      <c r="I9" s="33">
        <f t="shared" si="4"/>
        <v>163.25848194867334</v>
      </c>
      <c r="J9" s="33">
        <f t="shared" si="24"/>
        <v>106.70889517181385</v>
      </c>
      <c r="K9" s="29">
        <f t="shared" si="25"/>
        <v>1058.7254434626132</v>
      </c>
      <c r="L9" s="21">
        <f t="shared" si="5"/>
        <v>0.65</v>
      </c>
      <c r="M9" s="33">
        <f t="shared" si="6"/>
        <v>1849.3150684931506</v>
      </c>
      <c r="N9" s="33">
        <f t="shared" si="7"/>
        <v>650</v>
      </c>
      <c r="O9" s="33">
        <f t="shared" si="8"/>
        <v>109.72602739726027</v>
      </c>
      <c r="P9" s="33">
        <f t="shared" si="9"/>
        <v>319.0131578947368</v>
      </c>
      <c r="Q9" s="33">
        <f t="shared" si="10"/>
        <v>208.51315789473688</v>
      </c>
      <c r="R9" s="29">
        <f t="shared" si="26"/>
        <v>3136.5674116798846</v>
      </c>
      <c r="S9" s="21">
        <f t="shared" si="11"/>
        <v>1.0192307692307692</v>
      </c>
      <c r="T9" s="33">
        <f t="shared" si="12"/>
        <v>3698.6301369863013</v>
      </c>
      <c r="U9" s="33">
        <f t="shared" si="13"/>
        <v>1019.2307692307692</v>
      </c>
      <c r="V9" s="33">
        <f t="shared" si="14"/>
        <v>198.6828240252898</v>
      </c>
      <c r="W9" s="33">
        <f t="shared" si="15"/>
        <v>500.22773279352225</v>
      </c>
      <c r="X9" s="33">
        <f t="shared" si="16"/>
        <v>326.95850202429153</v>
      </c>
      <c r="Y9" s="29">
        <f t="shared" si="27"/>
        <v>5743.729965060174</v>
      </c>
      <c r="Z9" s="34">
        <f t="shared" si="17"/>
        <v>1.6785714285714286</v>
      </c>
      <c r="AA9" s="33">
        <f t="shared" si="18"/>
        <v>7397.260273972603</v>
      </c>
      <c r="AB9" s="33">
        <f t="shared" si="19"/>
        <v>1678.5714285714287</v>
      </c>
      <c r="AC9" s="33">
        <f t="shared" si="20"/>
        <v>370.74363992172215</v>
      </c>
      <c r="AD9" s="33">
        <f t="shared" si="21"/>
        <v>823.8251879699249</v>
      </c>
      <c r="AE9" s="33">
        <f t="shared" si="22"/>
        <v>538.468045112782</v>
      </c>
      <c r="AF9" s="29">
        <f t="shared" si="28"/>
        <v>10808.868575548462</v>
      </c>
      <c r="AG9" s="19"/>
      <c r="AH9" s="21"/>
      <c r="AI9" s="21"/>
      <c r="AJ9" s="22"/>
      <c r="AK9" s="17"/>
      <c r="AM9" s="2"/>
      <c r="AN9" s="2"/>
      <c r="AO9" s="24"/>
      <c r="AP9" s="24"/>
      <c r="AQ9" s="24"/>
    </row>
    <row r="10" spans="1:43" ht="12.75">
      <c r="A10" t="s">
        <v>81</v>
      </c>
      <c r="B10" s="18">
        <f>Mark_up</f>
        <v>0.3</v>
      </c>
      <c r="C10">
        <v>506</v>
      </c>
      <c r="D10" s="19">
        <f t="shared" si="23"/>
        <v>13315.78947368421</v>
      </c>
      <c r="E10" s="21">
        <f t="shared" si="0"/>
        <v>0.33264462809917356</v>
      </c>
      <c r="F10" s="33">
        <f t="shared" si="1"/>
        <v>369.86301369863014</v>
      </c>
      <c r="G10" s="33">
        <f t="shared" si="2"/>
        <v>332.64462809917353</v>
      </c>
      <c r="H10" s="33">
        <f t="shared" si="3"/>
        <v>258.7512736329673</v>
      </c>
      <c r="I10" s="33">
        <f t="shared" si="4"/>
        <v>100.84384515006526</v>
      </c>
      <c r="J10" s="33">
        <f t="shared" si="24"/>
        <v>132.8827751196172</v>
      </c>
      <c r="K10" s="29">
        <f t="shared" si="25"/>
        <v>1194.9855357004535</v>
      </c>
      <c r="L10" s="21">
        <f t="shared" si="5"/>
        <v>0.65</v>
      </c>
      <c r="M10" s="33">
        <f t="shared" si="6"/>
        <v>1849.3150684931506</v>
      </c>
      <c r="N10" s="33">
        <f t="shared" si="7"/>
        <v>650</v>
      </c>
      <c r="O10" s="33">
        <f t="shared" si="8"/>
        <v>329.1780821917808</v>
      </c>
      <c r="P10" s="33">
        <f t="shared" si="9"/>
        <v>197.0526315789474</v>
      </c>
      <c r="Q10" s="33">
        <f t="shared" si="10"/>
        <v>259.6578947368421</v>
      </c>
      <c r="R10" s="29">
        <f t="shared" si="26"/>
        <v>3285.203677000721</v>
      </c>
      <c r="S10" s="21">
        <f t="shared" si="11"/>
        <v>1.0192307692307692</v>
      </c>
      <c r="T10" s="33">
        <f t="shared" si="12"/>
        <v>3698.6301369863013</v>
      </c>
      <c r="U10" s="33">
        <f t="shared" si="13"/>
        <v>1019.2307692307692</v>
      </c>
      <c r="V10" s="33">
        <f t="shared" si="14"/>
        <v>596.0484720758693</v>
      </c>
      <c r="W10" s="33">
        <f t="shared" si="15"/>
        <v>308.98785425101215</v>
      </c>
      <c r="X10" s="33">
        <f t="shared" si="16"/>
        <v>407.1558704453441</v>
      </c>
      <c r="Y10" s="29">
        <f t="shared" si="27"/>
        <v>6030.053102989296</v>
      </c>
      <c r="Z10" s="34">
        <f t="shared" si="17"/>
        <v>1.6785714285714286</v>
      </c>
      <c r="AA10" s="33">
        <f t="shared" si="18"/>
        <v>7397.260273972603</v>
      </c>
      <c r="AB10" s="33">
        <f t="shared" si="19"/>
        <v>1678.5714285714287</v>
      </c>
      <c r="AC10" s="33">
        <f t="shared" si="20"/>
        <v>1112.2309197651664</v>
      </c>
      <c r="AD10" s="33">
        <f t="shared" si="21"/>
        <v>508.87218045112786</v>
      </c>
      <c r="AE10" s="33">
        <f t="shared" si="22"/>
        <v>670.5451127819549</v>
      </c>
      <c r="AF10" s="29">
        <f t="shared" si="28"/>
        <v>11367.47991554228</v>
      </c>
      <c r="AG10" s="19"/>
      <c r="AH10" s="21"/>
      <c r="AI10" s="21"/>
      <c r="AJ10" s="22"/>
      <c r="AK10" s="17"/>
      <c r="AM10" s="2"/>
      <c r="AN10" s="2"/>
      <c r="AO10" s="24"/>
      <c r="AP10" s="24"/>
      <c r="AQ10" s="24"/>
    </row>
    <row r="11" spans="1:43" ht="12.75">
      <c r="A11" t="s">
        <v>82</v>
      </c>
      <c r="B11" s="18">
        <f>Mark_up</f>
        <v>0.3</v>
      </c>
      <c r="C11">
        <v>429</v>
      </c>
      <c r="D11" s="19">
        <f t="shared" si="23"/>
        <v>11289.473684210525</v>
      </c>
      <c r="E11" s="21">
        <f t="shared" si="0"/>
        <v>0.33264462809917356</v>
      </c>
      <c r="F11" s="33">
        <f t="shared" si="1"/>
        <v>369.86301369863014</v>
      </c>
      <c r="G11" s="33">
        <f t="shared" si="2"/>
        <v>332.64462809917353</v>
      </c>
      <c r="H11" s="33">
        <f t="shared" si="3"/>
        <v>258.7512736329673</v>
      </c>
      <c r="I11" s="33">
        <f t="shared" si="4"/>
        <v>94.10341452805568</v>
      </c>
      <c r="J11" s="33">
        <f t="shared" si="24"/>
        <v>112.6614832535885</v>
      </c>
      <c r="K11" s="29">
        <f t="shared" si="25"/>
        <v>1168.0238132124152</v>
      </c>
      <c r="L11" s="21">
        <f t="shared" si="5"/>
        <v>0.65</v>
      </c>
      <c r="M11" s="33">
        <f t="shared" si="6"/>
        <v>1849.3150684931506</v>
      </c>
      <c r="N11" s="33">
        <f t="shared" si="7"/>
        <v>650</v>
      </c>
      <c r="O11" s="33">
        <f t="shared" si="8"/>
        <v>329.1780821917808</v>
      </c>
      <c r="P11" s="33">
        <f t="shared" si="9"/>
        <v>183.88157894736844</v>
      </c>
      <c r="Q11" s="33">
        <f t="shared" si="10"/>
        <v>220.14473684210523</v>
      </c>
      <c r="R11" s="29">
        <f t="shared" si="26"/>
        <v>3232.5194664744054</v>
      </c>
      <c r="S11" s="21">
        <f t="shared" si="11"/>
        <v>1.0192307692307692</v>
      </c>
      <c r="T11" s="33">
        <f t="shared" si="12"/>
        <v>3698.6301369863013</v>
      </c>
      <c r="U11" s="33">
        <f t="shared" si="13"/>
        <v>1019.2307692307692</v>
      </c>
      <c r="V11" s="33">
        <f t="shared" si="14"/>
        <v>596.0484720758693</v>
      </c>
      <c r="W11" s="33">
        <f t="shared" si="15"/>
        <v>288.33502024291494</v>
      </c>
      <c r="X11" s="33">
        <f t="shared" si="16"/>
        <v>345.19736842105254</v>
      </c>
      <c r="Y11" s="29">
        <f t="shared" si="27"/>
        <v>5947.4417669569075</v>
      </c>
      <c r="Z11" s="34">
        <f t="shared" si="17"/>
        <v>1.6785714285714286</v>
      </c>
      <c r="AA11" s="33">
        <f t="shared" si="18"/>
        <v>7397.260273972603</v>
      </c>
      <c r="AB11" s="33">
        <f t="shared" si="19"/>
        <v>1678.5714285714287</v>
      </c>
      <c r="AC11" s="33">
        <f t="shared" si="20"/>
        <v>1112.2309197651664</v>
      </c>
      <c r="AD11" s="33">
        <f t="shared" si="21"/>
        <v>474.859022556391</v>
      </c>
      <c r="AE11" s="33">
        <f t="shared" si="22"/>
        <v>568.5056390977443</v>
      </c>
      <c r="AF11" s="29">
        <f t="shared" si="28"/>
        <v>11231.427283963334</v>
      </c>
      <c r="AG11" s="19"/>
      <c r="AH11" s="21"/>
      <c r="AI11" s="21"/>
      <c r="AJ11" s="22"/>
      <c r="AK11" s="17"/>
      <c r="AM11" s="2"/>
      <c r="AN11" s="2"/>
      <c r="AO11" s="24"/>
      <c r="AP11" s="24"/>
      <c r="AQ11" s="24"/>
    </row>
    <row r="12" spans="1:43" ht="12.75">
      <c r="A12" t="s">
        <v>83</v>
      </c>
      <c r="B12" s="18">
        <f>Document</f>
        <v>0.8</v>
      </c>
      <c r="C12">
        <v>412</v>
      </c>
      <c r="D12" s="19">
        <f t="shared" si="23"/>
        <v>10842.105263157893</v>
      </c>
      <c r="E12" s="21">
        <f t="shared" si="0"/>
        <v>0.33264462809917356</v>
      </c>
      <c r="F12" s="33">
        <f t="shared" si="1"/>
        <v>369.86301369863014</v>
      </c>
      <c r="G12" s="33">
        <f t="shared" si="2"/>
        <v>332.64462809917353</v>
      </c>
      <c r="H12" s="33">
        <f t="shared" si="3"/>
        <v>690.0033963545795</v>
      </c>
      <c r="I12" s="33">
        <f t="shared" si="4"/>
        <v>92.615267507612</v>
      </c>
      <c r="J12" s="33">
        <f t="shared" si="24"/>
        <v>288.52544584602003</v>
      </c>
      <c r="K12" s="29">
        <f t="shared" si="25"/>
        <v>1773.6517515060154</v>
      </c>
      <c r="L12" s="21">
        <f t="shared" si="5"/>
        <v>0.65</v>
      </c>
      <c r="M12" s="33">
        <f t="shared" si="6"/>
        <v>1849.3150684931506</v>
      </c>
      <c r="N12" s="33">
        <f t="shared" si="7"/>
        <v>650</v>
      </c>
      <c r="O12" s="33">
        <f t="shared" si="8"/>
        <v>877.8082191780821</v>
      </c>
      <c r="P12" s="33">
        <f t="shared" si="9"/>
        <v>180.97368421052633</v>
      </c>
      <c r="Q12" s="33">
        <f t="shared" si="10"/>
        <v>563.7894736842106</v>
      </c>
      <c r="R12" s="29">
        <f t="shared" si="26"/>
        <v>4121.88644556597</v>
      </c>
      <c r="S12" s="21">
        <f t="shared" si="11"/>
        <v>1.0192307692307692</v>
      </c>
      <c r="T12" s="33">
        <f t="shared" si="12"/>
        <v>3698.6301369863013</v>
      </c>
      <c r="U12" s="33">
        <f t="shared" si="13"/>
        <v>1019.2307692307692</v>
      </c>
      <c r="V12" s="33">
        <f t="shared" si="14"/>
        <v>1589.4625922023183</v>
      </c>
      <c r="W12" s="33">
        <f t="shared" si="15"/>
        <v>283.77530364372467</v>
      </c>
      <c r="X12" s="33">
        <f t="shared" si="16"/>
        <v>884.0485829959515</v>
      </c>
      <c r="Y12" s="29">
        <f t="shared" si="27"/>
        <v>7475.1473850590655</v>
      </c>
      <c r="Z12" s="34">
        <f t="shared" si="17"/>
        <v>1.6785714285714286</v>
      </c>
      <c r="AA12" s="33">
        <f t="shared" si="18"/>
        <v>7397.260273972603</v>
      </c>
      <c r="AB12" s="33">
        <f t="shared" si="19"/>
        <v>1678.5714285714287</v>
      </c>
      <c r="AC12" s="33">
        <f t="shared" si="20"/>
        <v>2965.949119373777</v>
      </c>
      <c r="AD12" s="33">
        <f t="shared" si="21"/>
        <v>467.3496240601504</v>
      </c>
      <c r="AE12" s="33">
        <f t="shared" si="22"/>
        <v>1455.9398496240601</v>
      </c>
      <c r="AF12" s="29">
        <f t="shared" si="28"/>
        <v>13965.070295602021</v>
      </c>
      <c r="AG12" s="19"/>
      <c r="AH12" s="21"/>
      <c r="AI12" s="21"/>
      <c r="AJ12" s="22"/>
      <c r="AK12" s="17"/>
      <c r="AM12" s="2"/>
      <c r="AN12" s="2"/>
      <c r="AO12" s="24"/>
      <c r="AP12" s="24"/>
      <c r="AQ12" s="24"/>
    </row>
    <row r="13" spans="1:43" ht="12.75">
      <c r="A13" t="s">
        <v>84</v>
      </c>
      <c r="B13" s="18">
        <f>Bitmap</f>
        <v>0.2</v>
      </c>
      <c r="C13">
        <v>322</v>
      </c>
      <c r="D13" s="19">
        <f t="shared" si="23"/>
        <v>8473.684210526315</v>
      </c>
      <c r="E13" s="21">
        <f t="shared" si="0"/>
        <v>0.33264462809917356</v>
      </c>
      <c r="F13" s="33">
        <f t="shared" si="1"/>
        <v>369.86301369863014</v>
      </c>
      <c r="G13" s="33">
        <f t="shared" si="2"/>
        <v>332.64462809917353</v>
      </c>
      <c r="H13" s="33">
        <f t="shared" si="3"/>
        <v>172.50084908864488</v>
      </c>
      <c r="I13" s="33">
        <f t="shared" si="4"/>
        <v>84.73684210526316</v>
      </c>
      <c r="J13" s="33">
        <f t="shared" si="24"/>
        <v>56.37451065680731</v>
      </c>
      <c r="K13" s="29">
        <f t="shared" si="25"/>
        <v>1016.1198436485189</v>
      </c>
      <c r="L13" s="21">
        <f t="shared" si="5"/>
        <v>0.65</v>
      </c>
      <c r="M13" s="33">
        <f t="shared" si="6"/>
        <v>1849.3150684931506</v>
      </c>
      <c r="N13" s="33">
        <f t="shared" si="7"/>
        <v>650</v>
      </c>
      <c r="O13" s="33">
        <f t="shared" si="8"/>
        <v>219.45205479452054</v>
      </c>
      <c r="P13" s="33">
        <f t="shared" si="9"/>
        <v>165.57894736842107</v>
      </c>
      <c r="Q13" s="33">
        <f t="shared" si="10"/>
        <v>110.15789473684212</v>
      </c>
      <c r="R13" s="29">
        <f t="shared" si="26"/>
        <v>2994.5039653929343</v>
      </c>
      <c r="S13" s="21">
        <f t="shared" si="11"/>
        <v>1.0192307692307692</v>
      </c>
      <c r="T13" s="33">
        <f t="shared" si="12"/>
        <v>3698.6301369863013</v>
      </c>
      <c r="U13" s="33">
        <f t="shared" si="13"/>
        <v>1019.2307692307692</v>
      </c>
      <c r="V13" s="33">
        <f t="shared" si="14"/>
        <v>397.3656480505796</v>
      </c>
      <c r="W13" s="33">
        <f t="shared" si="15"/>
        <v>259.6356275303644</v>
      </c>
      <c r="X13" s="33">
        <f t="shared" si="16"/>
        <v>172.7327935222672</v>
      </c>
      <c r="Y13" s="29">
        <f t="shared" si="27"/>
        <v>5547.594975320282</v>
      </c>
      <c r="Z13" s="34">
        <f t="shared" si="17"/>
        <v>1.6785714285714286</v>
      </c>
      <c r="AA13" s="33">
        <f t="shared" si="18"/>
        <v>7397.260273972603</v>
      </c>
      <c r="AB13" s="33">
        <f t="shared" si="19"/>
        <v>1678.5714285714287</v>
      </c>
      <c r="AC13" s="33">
        <f t="shared" si="20"/>
        <v>741.4872798434443</v>
      </c>
      <c r="AD13" s="33">
        <f t="shared" si="21"/>
        <v>427.59398496240607</v>
      </c>
      <c r="AE13" s="33">
        <f t="shared" si="22"/>
        <v>284.47368421052636</v>
      </c>
      <c r="AF13" s="29">
        <f t="shared" si="28"/>
        <v>10529.38665156041</v>
      </c>
      <c r="AG13" s="19"/>
      <c r="AH13" s="21"/>
      <c r="AI13" s="21"/>
      <c r="AJ13" s="22"/>
      <c r="AK13" s="17"/>
      <c r="AM13" s="2"/>
      <c r="AN13" s="2"/>
      <c r="AO13" s="24"/>
      <c r="AP13" s="24"/>
      <c r="AQ13" s="24"/>
    </row>
    <row r="14" spans="1:43" ht="12.75">
      <c r="A14" t="s">
        <v>85</v>
      </c>
      <c r="B14" s="18">
        <f>Complex</f>
        <v>1</v>
      </c>
      <c r="C14">
        <v>155</v>
      </c>
      <c r="D14" s="19">
        <f t="shared" si="23"/>
        <v>4078.9473684210525</v>
      </c>
      <c r="E14" s="21">
        <f t="shared" si="0"/>
        <v>0.33264462809917356</v>
      </c>
      <c r="F14" s="33">
        <f t="shared" si="1"/>
        <v>369.86301369863014</v>
      </c>
      <c r="G14" s="33">
        <f t="shared" si="2"/>
        <v>332.64462809917353</v>
      </c>
      <c r="H14" s="33">
        <f t="shared" si="3"/>
        <v>862.5042454432244</v>
      </c>
      <c r="I14" s="33">
        <f t="shared" si="4"/>
        <v>70.11798608090474</v>
      </c>
      <c r="J14" s="33">
        <f t="shared" si="24"/>
        <v>135.68399304045238</v>
      </c>
      <c r="K14" s="29">
        <f t="shared" si="25"/>
        <v>1770.8138663623852</v>
      </c>
      <c r="L14" s="21">
        <f t="shared" si="5"/>
        <v>0.65</v>
      </c>
      <c r="M14" s="33">
        <f t="shared" si="6"/>
        <v>1849.3150684931506</v>
      </c>
      <c r="N14" s="33">
        <f t="shared" si="7"/>
        <v>650</v>
      </c>
      <c r="O14" s="33">
        <f t="shared" si="8"/>
        <v>1097.2602739726026</v>
      </c>
      <c r="P14" s="33">
        <f t="shared" si="9"/>
        <v>137.01315789473685</v>
      </c>
      <c r="Q14" s="33">
        <f t="shared" si="10"/>
        <v>265.13157894736844</v>
      </c>
      <c r="R14" s="29">
        <f t="shared" si="26"/>
        <v>3998.720079307858</v>
      </c>
      <c r="S14" s="21">
        <f t="shared" si="11"/>
        <v>1.0192307692307692</v>
      </c>
      <c r="T14" s="33">
        <f t="shared" si="12"/>
        <v>3698.6301369863013</v>
      </c>
      <c r="U14" s="33">
        <f t="shared" si="13"/>
        <v>1019.2307692307692</v>
      </c>
      <c r="V14" s="33">
        <f t="shared" si="14"/>
        <v>1986.8282402528978</v>
      </c>
      <c r="W14" s="33">
        <f t="shared" si="15"/>
        <v>214.8431174089069</v>
      </c>
      <c r="X14" s="33">
        <f t="shared" si="16"/>
        <v>415.7388663967611</v>
      </c>
      <c r="Y14" s="29">
        <f t="shared" si="27"/>
        <v>7335.271130275636</v>
      </c>
      <c r="Z14" s="34">
        <f t="shared" si="17"/>
        <v>1.6785714285714286</v>
      </c>
      <c r="AA14" s="33">
        <f t="shared" si="18"/>
        <v>7397.260273972603</v>
      </c>
      <c r="AB14" s="33">
        <f t="shared" si="19"/>
        <v>1678.5714285714287</v>
      </c>
      <c r="AC14" s="33">
        <f t="shared" si="20"/>
        <v>3707.436399217221</v>
      </c>
      <c r="AD14" s="33">
        <f t="shared" si="21"/>
        <v>353.82518796992485</v>
      </c>
      <c r="AE14" s="33">
        <f t="shared" si="22"/>
        <v>684.6804511278195</v>
      </c>
      <c r="AF14" s="29">
        <f t="shared" si="28"/>
        <v>13821.773740858996</v>
      </c>
      <c r="AG14" s="19"/>
      <c r="AH14" s="21"/>
      <c r="AI14" s="21"/>
      <c r="AJ14" s="22"/>
      <c r="AK14" s="17"/>
      <c r="AM14" s="2"/>
      <c r="AN14" s="2"/>
      <c r="AO14" s="24"/>
      <c r="AP14" s="24"/>
      <c r="AQ14" s="24"/>
    </row>
    <row r="15" spans="1:43" ht="12.75">
      <c r="A15" t="s">
        <v>86</v>
      </c>
      <c r="B15" s="18">
        <f>Multimedia</f>
        <v>0.6</v>
      </c>
      <c r="C15">
        <v>117</v>
      </c>
      <c r="D15" s="19">
        <f t="shared" si="23"/>
        <v>3078.9473684210525</v>
      </c>
      <c r="E15" s="21">
        <f t="shared" si="0"/>
        <v>0.33264462809917356</v>
      </c>
      <c r="F15" s="33">
        <f t="shared" si="1"/>
        <v>369.86301369863014</v>
      </c>
      <c r="G15" s="33">
        <f t="shared" si="2"/>
        <v>332.64462809917353</v>
      </c>
      <c r="H15" s="33">
        <f t="shared" si="3"/>
        <v>517.5025472659346</v>
      </c>
      <c r="I15" s="33">
        <f t="shared" si="4"/>
        <v>66.79153979991301</v>
      </c>
      <c r="J15" s="33">
        <f t="shared" si="24"/>
        <v>61.451718138321006</v>
      </c>
      <c r="K15" s="29">
        <f t="shared" si="25"/>
        <v>1348.2534470019723</v>
      </c>
      <c r="L15" s="21">
        <f t="shared" si="5"/>
        <v>0.65</v>
      </c>
      <c r="M15" s="33">
        <f t="shared" si="6"/>
        <v>1849.3150684931506</v>
      </c>
      <c r="N15" s="33">
        <f t="shared" si="7"/>
        <v>650</v>
      </c>
      <c r="O15" s="33">
        <f t="shared" si="8"/>
        <v>658.3561643835616</v>
      </c>
      <c r="P15" s="33">
        <f t="shared" si="9"/>
        <v>130.51315789473685</v>
      </c>
      <c r="Q15" s="33">
        <f t="shared" si="10"/>
        <v>120.07894736842105</v>
      </c>
      <c r="R15" s="29">
        <f t="shared" si="26"/>
        <v>3408.26333813987</v>
      </c>
      <c r="S15" s="21">
        <f t="shared" si="11"/>
        <v>1.0192307692307692</v>
      </c>
      <c r="T15" s="33">
        <f t="shared" si="12"/>
        <v>3698.6301369863013</v>
      </c>
      <c r="U15" s="33">
        <f t="shared" si="13"/>
        <v>1019.2307692307692</v>
      </c>
      <c r="V15" s="33">
        <f t="shared" si="14"/>
        <v>1192.0969441517386</v>
      </c>
      <c r="W15" s="33">
        <f t="shared" si="15"/>
        <v>204.65080971659918</v>
      </c>
      <c r="X15" s="33">
        <f t="shared" si="16"/>
        <v>188.2894736842105</v>
      </c>
      <c r="Y15" s="29">
        <f t="shared" si="27"/>
        <v>6302.89813376962</v>
      </c>
      <c r="Z15" s="34">
        <f t="shared" si="17"/>
        <v>1.6785714285714286</v>
      </c>
      <c r="AA15" s="33">
        <f t="shared" si="18"/>
        <v>7397.260273972603</v>
      </c>
      <c r="AB15" s="33">
        <f t="shared" si="19"/>
        <v>1678.5714285714287</v>
      </c>
      <c r="AC15" s="33">
        <f t="shared" si="20"/>
        <v>2224.461839530333</v>
      </c>
      <c r="AD15" s="33">
        <f t="shared" si="21"/>
        <v>337.0394736842105</v>
      </c>
      <c r="AE15" s="33">
        <f t="shared" si="22"/>
        <v>310.093984962406</v>
      </c>
      <c r="AF15" s="29">
        <f t="shared" si="28"/>
        <v>11947.427000720982</v>
      </c>
      <c r="AG15" s="19"/>
      <c r="AH15" s="21"/>
      <c r="AI15" s="21"/>
      <c r="AJ15" s="22"/>
      <c r="AK15" s="17"/>
      <c r="AM15" s="2"/>
      <c r="AN15" s="2"/>
      <c r="AO15" s="24"/>
      <c r="AP15" s="24"/>
      <c r="AQ15" s="24"/>
    </row>
    <row r="16" spans="1:43" ht="12.75">
      <c r="A16" t="s">
        <v>87</v>
      </c>
      <c r="B16" s="18">
        <f>Multimedia</f>
        <v>0.6</v>
      </c>
      <c r="C16">
        <v>96</v>
      </c>
      <c r="D16" s="19">
        <f t="shared" si="23"/>
        <v>2526.315789473684</v>
      </c>
      <c r="E16" s="21">
        <f t="shared" si="0"/>
        <v>0.33264462809917356</v>
      </c>
      <c r="F16" s="33">
        <f t="shared" si="1"/>
        <v>369.86301369863014</v>
      </c>
      <c r="G16" s="33">
        <f t="shared" si="2"/>
        <v>332.64462809917353</v>
      </c>
      <c r="H16" s="33">
        <f t="shared" si="3"/>
        <v>517.5025472659346</v>
      </c>
      <c r="I16" s="33">
        <f t="shared" si="4"/>
        <v>64.95324053936494</v>
      </c>
      <c r="J16" s="33">
        <f t="shared" si="24"/>
        <v>50.42192257503262</v>
      </c>
      <c r="K16" s="29">
        <f t="shared" si="25"/>
        <v>1335.385352178136</v>
      </c>
      <c r="L16" s="21">
        <f t="shared" si="5"/>
        <v>0.65</v>
      </c>
      <c r="M16" s="33">
        <f t="shared" si="6"/>
        <v>1849.3150684931506</v>
      </c>
      <c r="N16" s="33">
        <f t="shared" si="7"/>
        <v>650</v>
      </c>
      <c r="O16" s="33">
        <f t="shared" si="8"/>
        <v>658.3561643835616</v>
      </c>
      <c r="P16" s="33">
        <f t="shared" si="9"/>
        <v>126.92105263157895</v>
      </c>
      <c r="Q16" s="33">
        <f t="shared" si="10"/>
        <v>98.52631578947368</v>
      </c>
      <c r="R16" s="29">
        <f t="shared" si="26"/>
        <v>3383.1186012977646</v>
      </c>
      <c r="S16" s="21">
        <f t="shared" si="11"/>
        <v>1.0192307692307692</v>
      </c>
      <c r="T16" s="33">
        <f t="shared" si="12"/>
        <v>3698.6301369863013</v>
      </c>
      <c r="U16" s="33">
        <f t="shared" si="13"/>
        <v>1019.2307692307692</v>
      </c>
      <c r="V16" s="33">
        <f t="shared" si="14"/>
        <v>1192.0969441517386</v>
      </c>
      <c r="W16" s="33">
        <f t="shared" si="15"/>
        <v>199.01821862348174</v>
      </c>
      <c r="X16" s="33">
        <f t="shared" si="16"/>
        <v>154.49392712550605</v>
      </c>
      <c r="Y16" s="29">
        <f t="shared" si="27"/>
        <v>6263.469996117798</v>
      </c>
      <c r="Z16" s="34">
        <f t="shared" si="17"/>
        <v>1.6785714285714286</v>
      </c>
      <c r="AA16" s="33">
        <f t="shared" si="18"/>
        <v>7397.260273972603</v>
      </c>
      <c r="AB16" s="33">
        <f t="shared" si="19"/>
        <v>1678.5714285714287</v>
      </c>
      <c r="AC16" s="33">
        <f t="shared" si="20"/>
        <v>2224.461839530333</v>
      </c>
      <c r="AD16" s="33">
        <f t="shared" si="21"/>
        <v>327.7631578947368</v>
      </c>
      <c r="AE16" s="33">
        <f t="shared" si="22"/>
        <v>254.43609022556393</v>
      </c>
      <c r="AF16" s="29">
        <f t="shared" si="28"/>
        <v>11882.492790194665</v>
      </c>
      <c r="AG16" s="19"/>
      <c r="AH16" s="21"/>
      <c r="AI16" s="21"/>
      <c r="AJ16" s="22"/>
      <c r="AK16" s="17"/>
      <c r="AM16" s="2"/>
      <c r="AN16" s="2"/>
      <c r="AO16" s="24"/>
      <c r="AP16" s="24"/>
      <c r="AQ16" s="24"/>
    </row>
    <row r="17" spans="1:43" ht="12.75">
      <c r="A17" t="s">
        <v>88</v>
      </c>
      <c r="B17" s="18">
        <f>Complex</f>
        <v>1</v>
      </c>
      <c r="C17">
        <v>86</v>
      </c>
      <c r="D17" s="19">
        <f t="shared" si="23"/>
        <v>2263.157894736842</v>
      </c>
      <c r="E17" s="21">
        <f t="shared" si="0"/>
        <v>0.33264462809917356</v>
      </c>
      <c r="F17" s="33">
        <f t="shared" si="1"/>
        <v>369.86301369863014</v>
      </c>
      <c r="G17" s="33">
        <f t="shared" si="2"/>
        <v>332.64462809917353</v>
      </c>
      <c r="H17" s="33">
        <f t="shared" si="3"/>
        <v>862.5042454432244</v>
      </c>
      <c r="I17" s="33">
        <f t="shared" si="4"/>
        <v>64.07785993910394</v>
      </c>
      <c r="J17" s="33">
        <f t="shared" si="24"/>
        <v>75.28273162244454</v>
      </c>
      <c r="K17" s="29">
        <f t="shared" si="25"/>
        <v>1704.3724788025766</v>
      </c>
      <c r="L17" s="21">
        <f t="shared" si="5"/>
        <v>0.65</v>
      </c>
      <c r="M17" s="33">
        <f t="shared" si="6"/>
        <v>1849.3150684931506</v>
      </c>
      <c r="N17" s="33">
        <f t="shared" si="7"/>
        <v>650</v>
      </c>
      <c r="O17" s="33">
        <f t="shared" si="8"/>
        <v>1097.2602739726026</v>
      </c>
      <c r="P17" s="33">
        <f t="shared" si="9"/>
        <v>125.21052631578945</v>
      </c>
      <c r="Q17" s="33">
        <f t="shared" si="10"/>
        <v>147.10526315789474</v>
      </c>
      <c r="R17" s="29">
        <f t="shared" si="26"/>
        <v>3868.8911319394374</v>
      </c>
      <c r="S17" s="21">
        <f t="shared" si="11"/>
        <v>1.0192307692307692</v>
      </c>
      <c r="T17" s="33">
        <f t="shared" si="12"/>
        <v>3698.6301369863013</v>
      </c>
      <c r="U17" s="33">
        <f t="shared" si="13"/>
        <v>1019.2307692307692</v>
      </c>
      <c r="V17" s="33">
        <f t="shared" si="14"/>
        <v>1986.8282402528978</v>
      </c>
      <c r="W17" s="33">
        <f t="shared" si="15"/>
        <v>196.3360323886639</v>
      </c>
      <c r="X17" s="33">
        <f t="shared" si="16"/>
        <v>230.66801619433198</v>
      </c>
      <c r="Y17" s="29">
        <f t="shared" si="27"/>
        <v>7131.693195052964</v>
      </c>
      <c r="Z17" s="34">
        <f t="shared" si="17"/>
        <v>1.6785714285714286</v>
      </c>
      <c r="AA17" s="33">
        <f t="shared" si="18"/>
        <v>7397.260273972603</v>
      </c>
      <c r="AB17" s="33">
        <f t="shared" si="19"/>
        <v>1678.5714285714287</v>
      </c>
      <c r="AC17" s="33">
        <f t="shared" si="20"/>
        <v>3707.436399217221</v>
      </c>
      <c r="AD17" s="33">
        <f t="shared" si="21"/>
        <v>323.3458646616541</v>
      </c>
      <c r="AE17" s="33">
        <f t="shared" si="22"/>
        <v>379.88721804511283</v>
      </c>
      <c r="AF17" s="29">
        <f t="shared" si="28"/>
        <v>13486.50118446802</v>
      </c>
      <c r="AG17" s="19"/>
      <c r="AH17" s="21"/>
      <c r="AI17" s="21"/>
      <c r="AJ17" s="22"/>
      <c r="AK17" s="17"/>
      <c r="AM17" s="2"/>
      <c r="AN17" s="2"/>
      <c r="AO17" s="24"/>
      <c r="AP17" s="24"/>
      <c r="AQ17" s="24"/>
    </row>
    <row r="18" spans="1:43" ht="12.75">
      <c r="A18" t="s">
        <v>89</v>
      </c>
      <c r="B18" s="18">
        <f>Multimedia</f>
        <v>0.6</v>
      </c>
      <c r="C18">
        <v>53</v>
      </c>
      <c r="D18" s="19">
        <f t="shared" si="23"/>
        <v>1394.7368421052631</v>
      </c>
      <c r="E18" s="21">
        <f t="shared" si="0"/>
        <v>0.33264462809917356</v>
      </c>
      <c r="F18" s="33">
        <f t="shared" si="1"/>
        <v>369.86301369863014</v>
      </c>
      <c r="G18" s="33">
        <f t="shared" si="2"/>
        <v>332.64462809917353</v>
      </c>
      <c r="H18" s="33">
        <f t="shared" si="3"/>
        <v>517.5025472659346</v>
      </c>
      <c r="I18" s="33">
        <f t="shared" si="4"/>
        <v>61.18910395824271</v>
      </c>
      <c r="J18" s="33">
        <f t="shared" si="24"/>
        <v>27.83710308829926</v>
      </c>
      <c r="K18" s="29">
        <f t="shared" si="25"/>
        <v>1309.0363961102803</v>
      </c>
      <c r="L18" s="21">
        <f t="shared" si="5"/>
        <v>0.65</v>
      </c>
      <c r="M18" s="33">
        <f t="shared" si="6"/>
        <v>1849.3150684931506</v>
      </c>
      <c r="N18" s="33">
        <f t="shared" si="7"/>
        <v>650</v>
      </c>
      <c r="O18" s="33">
        <f t="shared" si="8"/>
        <v>658.3561643835616</v>
      </c>
      <c r="P18" s="33">
        <f t="shared" si="9"/>
        <v>119.56578947368422</v>
      </c>
      <c r="Q18" s="33">
        <f t="shared" si="10"/>
        <v>54.39473684210526</v>
      </c>
      <c r="R18" s="29">
        <f t="shared" si="26"/>
        <v>3331.6317591925017</v>
      </c>
      <c r="S18" s="21">
        <f t="shared" si="11"/>
        <v>1.0192307692307692</v>
      </c>
      <c r="T18" s="33">
        <f t="shared" si="12"/>
        <v>3698.6301369863013</v>
      </c>
      <c r="U18" s="33">
        <f t="shared" si="13"/>
        <v>1019.2307692307692</v>
      </c>
      <c r="V18" s="33">
        <f t="shared" si="14"/>
        <v>1192.0969441517386</v>
      </c>
      <c r="W18" s="33">
        <f t="shared" si="15"/>
        <v>187.48481781376518</v>
      </c>
      <c r="X18" s="33">
        <f t="shared" si="16"/>
        <v>85.29352226720647</v>
      </c>
      <c r="Y18" s="29">
        <f t="shared" si="27"/>
        <v>6182.736190449782</v>
      </c>
      <c r="Z18" s="34">
        <f t="shared" si="17"/>
        <v>1.6785714285714286</v>
      </c>
      <c r="AA18" s="33">
        <f t="shared" si="18"/>
        <v>7397.260273972603</v>
      </c>
      <c r="AB18" s="33">
        <f t="shared" si="19"/>
        <v>1678.5714285714287</v>
      </c>
      <c r="AC18" s="33">
        <f t="shared" si="20"/>
        <v>2224.461839530333</v>
      </c>
      <c r="AD18" s="33">
        <f t="shared" si="21"/>
        <v>308.7687969924812</v>
      </c>
      <c r="AE18" s="33">
        <f t="shared" si="22"/>
        <v>140.4699248120301</v>
      </c>
      <c r="AF18" s="29">
        <f t="shared" si="28"/>
        <v>11749.532263878877</v>
      </c>
      <c r="AG18" s="19"/>
      <c r="AH18" s="21"/>
      <c r="AI18" s="21"/>
      <c r="AJ18" s="22"/>
      <c r="AK18" s="17"/>
      <c r="AM18" s="2"/>
      <c r="AN18" s="2"/>
      <c r="AO18" s="24"/>
      <c r="AP18" s="24"/>
      <c r="AQ18" s="24"/>
    </row>
    <row r="19" spans="1:43" ht="12.75">
      <c r="A19" t="s">
        <v>90</v>
      </c>
      <c r="B19" s="18">
        <f>Document</f>
        <v>0.8</v>
      </c>
      <c r="C19">
        <v>47</v>
      </c>
      <c r="D19" s="19">
        <f t="shared" si="23"/>
        <v>1236.842105263158</v>
      </c>
      <c r="E19" s="21">
        <f t="shared" si="0"/>
        <v>0.33264462809917356</v>
      </c>
      <c r="F19" s="33">
        <f t="shared" si="1"/>
        <v>369.86301369863014</v>
      </c>
      <c r="G19" s="33">
        <f t="shared" si="2"/>
        <v>332.64462809917353</v>
      </c>
      <c r="H19" s="33">
        <f t="shared" si="3"/>
        <v>690.0033963545795</v>
      </c>
      <c r="I19" s="33">
        <f t="shared" si="4"/>
        <v>60.66387559808613</v>
      </c>
      <c r="J19" s="33">
        <f t="shared" si="24"/>
        <v>32.91431056981297</v>
      </c>
      <c r="K19" s="29">
        <f t="shared" si="25"/>
        <v>1486.0892243202823</v>
      </c>
      <c r="L19" s="21">
        <f t="shared" si="5"/>
        <v>0.65</v>
      </c>
      <c r="M19" s="33">
        <f t="shared" si="6"/>
        <v>1849.3150684931506</v>
      </c>
      <c r="N19" s="33">
        <f t="shared" si="7"/>
        <v>650</v>
      </c>
      <c r="O19" s="33">
        <f t="shared" si="8"/>
        <v>877.8082191780821</v>
      </c>
      <c r="P19" s="33">
        <f t="shared" si="9"/>
        <v>118.53947368421053</v>
      </c>
      <c r="Q19" s="33">
        <f t="shared" si="10"/>
        <v>64.31578947368423</v>
      </c>
      <c r="R19" s="29">
        <f t="shared" si="26"/>
        <v>3559.9785508291275</v>
      </c>
      <c r="S19" s="21">
        <f t="shared" si="11"/>
        <v>1.0192307692307692</v>
      </c>
      <c r="T19" s="33">
        <f t="shared" si="12"/>
        <v>3698.6301369863013</v>
      </c>
      <c r="U19" s="33">
        <f t="shared" si="13"/>
        <v>1019.2307692307692</v>
      </c>
      <c r="V19" s="33">
        <f t="shared" si="14"/>
        <v>1589.4625922023183</v>
      </c>
      <c r="W19" s="33">
        <f t="shared" si="15"/>
        <v>185.8755060728745</v>
      </c>
      <c r="X19" s="33">
        <f t="shared" si="16"/>
        <v>100.85020242914982</v>
      </c>
      <c r="Y19" s="29">
        <f t="shared" si="27"/>
        <v>6594.049206921414</v>
      </c>
      <c r="Z19" s="34">
        <f t="shared" si="17"/>
        <v>1.6785714285714286</v>
      </c>
      <c r="AA19" s="33">
        <f t="shared" si="18"/>
        <v>7397.260273972603</v>
      </c>
      <c r="AB19" s="33">
        <f t="shared" si="19"/>
        <v>1678.5714285714287</v>
      </c>
      <c r="AC19" s="33">
        <f t="shared" si="20"/>
        <v>2965.949119373777</v>
      </c>
      <c r="AD19" s="33">
        <f t="shared" si="21"/>
        <v>306.1184210526316</v>
      </c>
      <c r="AE19" s="33">
        <f t="shared" si="22"/>
        <v>166.0902255639098</v>
      </c>
      <c r="AF19" s="29">
        <f t="shared" si="28"/>
        <v>12513.989468534352</v>
      </c>
      <c r="AG19" s="19"/>
      <c r="AH19" s="21"/>
      <c r="AI19" s="21"/>
      <c r="AJ19" s="22"/>
      <c r="AK19" s="17"/>
      <c r="AM19" s="2"/>
      <c r="AN19" s="2"/>
      <c r="AO19" s="24"/>
      <c r="AP19" s="24"/>
      <c r="AQ19" s="24"/>
    </row>
    <row r="20" spans="1:43" ht="12.75">
      <c r="A20" t="s">
        <v>91</v>
      </c>
      <c r="B20" s="18">
        <f>Multimedia</f>
        <v>0.6</v>
      </c>
      <c r="C20">
        <v>40</v>
      </c>
      <c r="D20" s="19">
        <f t="shared" si="23"/>
        <v>1052.6315789473683</v>
      </c>
      <c r="E20" s="21">
        <f t="shared" si="0"/>
        <v>0.33264462809917356</v>
      </c>
      <c r="F20" s="33">
        <f t="shared" si="1"/>
        <v>369.86301369863014</v>
      </c>
      <c r="G20" s="33">
        <f t="shared" si="2"/>
        <v>332.64462809917353</v>
      </c>
      <c r="H20" s="33">
        <f t="shared" si="3"/>
        <v>517.5025472659346</v>
      </c>
      <c r="I20" s="33">
        <f t="shared" si="4"/>
        <v>60.051109177903434</v>
      </c>
      <c r="J20" s="33">
        <f t="shared" si="24"/>
        <v>21.00913440626359</v>
      </c>
      <c r="K20" s="29">
        <f t="shared" si="25"/>
        <v>1301.0704326479056</v>
      </c>
      <c r="L20" s="21">
        <f t="shared" si="5"/>
        <v>0.65</v>
      </c>
      <c r="M20" s="33">
        <f t="shared" si="6"/>
        <v>1849.3150684931506</v>
      </c>
      <c r="N20" s="33">
        <f t="shared" si="7"/>
        <v>650</v>
      </c>
      <c r="O20" s="33">
        <f t="shared" si="8"/>
        <v>658.3561643835616</v>
      </c>
      <c r="P20" s="33">
        <f t="shared" si="9"/>
        <v>117.34210526315789</v>
      </c>
      <c r="Q20" s="33">
        <f t="shared" si="10"/>
        <v>41.05263157894736</v>
      </c>
      <c r="R20" s="29">
        <f t="shared" si="26"/>
        <v>3316.0659697188175</v>
      </c>
      <c r="S20" s="21">
        <f t="shared" si="11"/>
        <v>1.0192307692307692</v>
      </c>
      <c r="T20" s="33">
        <f t="shared" si="12"/>
        <v>3698.6301369863013</v>
      </c>
      <c r="U20" s="33">
        <f t="shared" si="13"/>
        <v>1019.2307692307692</v>
      </c>
      <c r="V20" s="33">
        <f t="shared" si="14"/>
        <v>1192.0969441517386</v>
      </c>
      <c r="W20" s="33">
        <f t="shared" si="15"/>
        <v>183.997975708502</v>
      </c>
      <c r="X20" s="33">
        <f t="shared" si="16"/>
        <v>64.37246963562751</v>
      </c>
      <c r="Y20" s="29">
        <f t="shared" si="27"/>
        <v>6158.3282957129395</v>
      </c>
      <c r="Z20" s="34">
        <f t="shared" si="17"/>
        <v>1.6785714285714286</v>
      </c>
      <c r="AA20" s="33">
        <f t="shared" si="18"/>
        <v>7397.260273972603</v>
      </c>
      <c r="AB20" s="33">
        <f t="shared" si="19"/>
        <v>1678.5714285714287</v>
      </c>
      <c r="AC20" s="33">
        <f t="shared" si="20"/>
        <v>2224.461839530333</v>
      </c>
      <c r="AD20" s="33">
        <f t="shared" si="21"/>
        <v>303.02631578947364</v>
      </c>
      <c r="AE20" s="33">
        <f t="shared" si="22"/>
        <v>106.01503759398494</v>
      </c>
      <c r="AF20" s="29">
        <f t="shared" si="28"/>
        <v>11709.334895457823</v>
      </c>
      <c r="AG20" s="19"/>
      <c r="AH20" s="21"/>
      <c r="AI20" s="21"/>
      <c r="AJ20" s="22"/>
      <c r="AK20" s="17"/>
      <c r="AM20" s="2"/>
      <c r="AN20" s="2"/>
      <c r="AO20" s="24"/>
      <c r="AP20" s="24"/>
      <c r="AQ20" s="24"/>
    </row>
    <row r="21" spans="1:43" ht="12.75">
      <c r="A21" t="s">
        <v>92</v>
      </c>
      <c r="B21" s="18">
        <f>Mark_up</f>
        <v>0.3</v>
      </c>
      <c r="C21">
        <v>31</v>
      </c>
      <c r="D21" s="19">
        <f t="shared" si="23"/>
        <v>815.7894736842105</v>
      </c>
      <c r="E21" s="21">
        <f t="shared" si="0"/>
        <v>0.33264462809917356</v>
      </c>
      <c r="F21" s="33">
        <f t="shared" si="1"/>
        <v>369.86301369863014</v>
      </c>
      <c r="G21" s="33">
        <f t="shared" si="2"/>
        <v>332.64462809917353</v>
      </c>
      <c r="H21" s="33">
        <f t="shared" si="3"/>
        <v>258.7512736329673</v>
      </c>
      <c r="I21" s="33">
        <f t="shared" si="4"/>
        <v>59.26326663766855</v>
      </c>
      <c r="J21" s="33">
        <f t="shared" si="24"/>
        <v>8.141039582427142</v>
      </c>
      <c r="K21" s="29">
        <f t="shared" si="25"/>
        <v>1028.6632216508665</v>
      </c>
      <c r="L21" s="21">
        <f t="shared" si="5"/>
        <v>0.65</v>
      </c>
      <c r="M21" s="33">
        <f t="shared" si="6"/>
        <v>1849.3150684931506</v>
      </c>
      <c r="N21" s="33">
        <f t="shared" si="7"/>
        <v>650</v>
      </c>
      <c r="O21" s="33">
        <f t="shared" si="8"/>
        <v>329.1780821917808</v>
      </c>
      <c r="P21" s="33">
        <f t="shared" si="9"/>
        <v>115.80263157894737</v>
      </c>
      <c r="Q21" s="33">
        <f t="shared" si="10"/>
        <v>15.907894736842106</v>
      </c>
      <c r="R21" s="29">
        <f t="shared" si="26"/>
        <v>2960.203677000721</v>
      </c>
      <c r="S21" s="21">
        <f t="shared" si="11"/>
        <v>1.0192307692307692</v>
      </c>
      <c r="T21" s="33">
        <f t="shared" si="12"/>
        <v>3698.6301369863013</v>
      </c>
      <c r="U21" s="33">
        <f t="shared" si="13"/>
        <v>1019.2307692307692</v>
      </c>
      <c r="V21" s="33">
        <f t="shared" si="14"/>
        <v>596.0484720758693</v>
      </c>
      <c r="W21" s="33">
        <f t="shared" si="15"/>
        <v>181.584008097166</v>
      </c>
      <c r="X21" s="33">
        <f t="shared" si="16"/>
        <v>24.944331983805665</v>
      </c>
      <c r="Y21" s="29">
        <f t="shared" si="27"/>
        <v>5520.437718373912</v>
      </c>
      <c r="Z21" s="34">
        <f t="shared" si="17"/>
        <v>1.6785714285714286</v>
      </c>
      <c r="AA21" s="33">
        <f t="shared" si="18"/>
        <v>7397.260273972603</v>
      </c>
      <c r="AB21" s="33">
        <f t="shared" si="19"/>
        <v>1678.5714285714287</v>
      </c>
      <c r="AC21" s="33">
        <f t="shared" si="20"/>
        <v>1112.2309197651664</v>
      </c>
      <c r="AD21" s="33">
        <f t="shared" si="21"/>
        <v>299.05075187969925</v>
      </c>
      <c r="AE21" s="33">
        <f t="shared" si="22"/>
        <v>41.08082706766917</v>
      </c>
      <c r="AF21" s="29">
        <f t="shared" si="28"/>
        <v>10528.194201256567</v>
      </c>
      <c r="AG21" s="19"/>
      <c r="AH21" s="21"/>
      <c r="AI21" s="21"/>
      <c r="AJ21" s="22"/>
      <c r="AK21" s="17"/>
      <c r="AM21" s="2"/>
      <c r="AN21" s="2"/>
      <c r="AO21" s="24"/>
      <c r="AP21" s="24"/>
      <c r="AQ21" s="24"/>
    </row>
    <row r="22" spans="1:43" ht="12.75">
      <c r="A22" t="s">
        <v>93</v>
      </c>
      <c r="B22" s="18">
        <f>Mark_up</f>
        <v>0.3</v>
      </c>
      <c r="C22">
        <v>26</v>
      </c>
      <c r="D22" s="19">
        <f t="shared" si="23"/>
        <v>684.2105263157895</v>
      </c>
      <c r="E22" s="21">
        <f t="shared" si="0"/>
        <v>0.33264462809917356</v>
      </c>
      <c r="F22" s="33">
        <f t="shared" si="1"/>
        <v>369.86301369863014</v>
      </c>
      <c r="G22" s="33">
        <f t="shared" si="2"/>
        <v>332.64462809917353</v>
      </c>
      <c r="H22" s="33">
        <f t="shared" si="3"/>
        <v>258.7512736329673</v>
      </c>
      <c r="I22" s="33">
        <f t="shared" si="4"/>
        <v>58.82557633753806</v>
      </c>
      <c r="J22" s="33">
        <f t="shared" si="24"/>
        <v>6.827968682035668</v>
      </c>
      <c r="K22" s="29">
        <f t="shared" si="25"/>
        <v>1026.9124604503447</v>
      </c>
      <c r="L22" s="21">
        <f t="shared" si="5"/>
        <v>0.65</v>
      </c>
      <c r="M22" s="33">
        <f t="shared" si="6"/>
        <v>1849.3150684931506</v>
      </c>
      <c r="N22" s="33">
        <f t="shared" si="7"/>
        <v>650</v>
      </c>
      <c r="O22" s="33">
        <f t="shared" si="8"/>
        <v>329.1780821917808</v>
      </c>
      <c r="P22" s="33">
        <f t="shared" si="9"/>
        <v>114.94736842105263</v>
      </c>
      <c r="Q22" s="33">
        <f t="shared" si="10"/>
        <v>13.342105263157896</v>
      </c>
      <c r="R22" s="29">
        <f t="shared" si="26"/>
        <v>2956.782624369142</v>
      </c>
      <c r="S22" s="21">
        <f t="shared" si="11"/>
        <v>1.0192307692307692</v>
      </c>
      <c r="T22" s="33">
        <f t="shared" si="12"/>
        <v>3698.6301369863013</v>
      </c>
      <c r="U22" s="33">
        <f t="shared" si="13"/>
        <v>1019.2307692307692</v>
      </c>
      <c r="V22" s="33">
        <f t="shared" si="14"/>
        <v>596.0484720758693</v>
      </c>
      <c r="W22" s="33">
        <f t="shared" si="15"/>
        <v>180.24291497975707</v>
      </c>
      <c r="X22" s="33">
        <f t="shared" si="16"/>
        <v>20.921052631578945</v>
      </c>
      <c r="Y22" s="29">
        <f t="shared" si="27"/>
        <v>5515.073345904277</v>
      </c>
      <c r="Z22" s="34">
        <f t="shared" si="17"/>
        <v>1.6785714285714286</v>
      </c>
      <c r="AA22" s="33">
        <f t="shared" si="18"/>
        <v>7397.260273972603</v>
      </c>
      <c r="AB22" s="33">
        <f t="shared" si="19"/>
        <v>1678.5714285714287</v>
      </c>
      <c r="AC22" s="33">
        <f t="shared" si="20"/>
        <v>1112.2309197651664</v>
      </c>
      <c r="AD22" s="33">
        <f t="shared" si="21"/>
        <v>296.8421052631579</v>
      </c>
      <c r="AE22" s="33">
        <f t="shared" si="22"/>
        <v>34.45488721804511</v>
      </c>
      <c r="AF22" s="29">
        <f t="shared" si="28"/>
        <v>10519.359614790403</v>
      </c>
      <c r="AG22" s="19"/>
      <c r="AH22" s="21"/>
      <c r="AI22" s="21"/>
      <c r="AJ22" s="22"/>
      <c r="AK22" s="17"/>
      <c r="AM22" s="2"/>
      <c r="AN22" s="2"/>
      <c r="AO22" s="24"/>
      <c r="AP22" s="24"/>
      <c r="AQ22" s="24"/>
    </row>
    <row r="23" spans="1:43" ht="12.75">
      <c r="A23" t="s">
        <v>94</v>
      </c>
      <c r="B23" s="18">
        <f>Multimedia</f>
        <v>0.6</v>
      </c>
      <c r="C23">
        <v>35</v>
      </c>
      <c r="D23" s="19">
        <f t="shared" si="23"/>
        <v>921.0526315789473</v>
      </c>
      <c r="E23" s="21">
        <f t="shared" si="0"/>
        <v>0.33264462809917356</v>
      </c>
      <c r="F23" s="33">
        <f t="shared" si="1"/>
        <v>369.86301369863014</v>
      </c>
      <c r="G23" s="33">
        <f t="shared" si="2"/>
        <v>332.64462809917353</v>
      </c>
      <c r="H23" s="33">
        <f t="shared" si="3"/>
        <v>517.5025472659346</v>
      </c>
      <c r="I23" s="33">
        <f t="shared" si="4"/>
        <v>59.61341887777295</v>
      </c>
      <c r="J23" s="33">
        <f t="shared" si="24"/>
        <v>18.38299260548064</v>
      </c>
      <c r="K23" s="29">
        <f t="shared" si="25"/>
        <v>1298.006600546992</v>
      </c>
      <c r="L23" s="21">
        <f t="shared" si="5"/>
        <v>0.65</v>
      </c>
      <c r="M23" s="33">
        <f t="shared" si="6"/>
        <v>1849.3150684931506</v>
      </c>
      <c r="N23" s="33">
        <f t="shared" si="7"/>
        <v>650</v>
      </c>
      <c r="O23" s="33">
        <f t="shared" si="8"/>
        <v>658.3561643835616</v>
      </c>
      <c r="P23" s="33">
        <f t="shared" si="9"/>
        <v>116.48684210526316</v>
      </c>
      <c r="Q23" s="33">
        <f t="shared" si="10"/>
        <v>35.921052631578945</v>
      </c>
      <c r="R23" s="29">
        <f t="shared" si="26"/>
        <v>3310.079127613554</v>
      </c>
      <c r="S23" s="21">
        <f t="shared" si="11"/>
        <v>1.0192307692307692</v>
      </c>
      <c r="T23" s="33">
        <f t="shared" si="12"/>
        <v>3698.6301369863013</v>
      </c>
      <c r="U23" s="33">
        <f t="shared" si="13"/>
        <v>1019.2307692307692</v>
      </c>
      <c r="V23" s="33">
        <f t="shared" si="14"/>
        <v>1192.0969441517386</v>
      </c>
      <c r="W23" s="33">
        <f t="shared" si="15"/>
        <v>182.6568825910931</v>
      </c>
      <c r="X23" s="33">
        <f t="shared" si="16"/>
        <v>56.32591093117408</v>
      </c>
      <c r="Y23" s="29">
        <f t="shared" si="27"/>
        <v>6148.940643891076</v>
      </c>
      <c r="Z23" s="34">
        <f t="shared" si="17"/>
        <v>1.6785714285714286</v>
      </c>
      <c r="AA23" s="33">
        <f t="shared" si="18"/>
        <v>7397.260273972603</v>
      </c>
      <c r="AB23" s="33">
        <f t="shared" si="19"/>
        <v>1678.5714285714287</v>
      </c>
      <c r="AC23" s="33">
        <f t="shared" si="20"/>
        <v>2224.461839530333</v>
      </c>
      <c r="AD23" s="33">
        <f t="shared" si="21"/>
        <v>300.81766917293237</v>
      </c>
      <c r="AE23" s="33">
        <f t="shared" si="22"/>
        <v>92.76315789473685</v>
      </c>
      <c r="AF23" s="29">
        <f t="shared" si="28"/>
        <v>11693.874369142035</v>
      </c>
      <c r="AG23" s="19"/>
      <c r="AH23" s="21"/>
      <c r="AI23" s="21"/>
      <c r="AJ23" s="22"/>
      <c r="AK23" s="17"/>
      <c r="AM23" s="2"/>
      <c r="AN23" s="2"/>
      <c r="AO23" s="24"/>
      <c r="AP23" s="24"/>
      <c r="AQ23" s="24"/>
    </row>
    <row r="24" spans="1:43" ht="12.75">
      <c r="A24" t="s">
        <v>95</v>
      </c>
      <c r="B24" s="18">
        <f>Mark_up</f>
        <v>0.3</v>
      </c>
      <c r="C24">
        <v>20</v>
      </c>
      <c r="D24" s="19">
        <f t="shared" si="23"/>
        <v>526.3157894736842</v>
      </c>
      <c r="E24" s="21">
        <f t="shared" si="0"/>
        <v>0.33264462809917356</v>
      </c>
      <c r="F24" s="33">
        <f t="shared" si="1"/>
        <v>369.86301369863014</v>
      </c>
      <c r="G24" s="33">
        <f t="shared" si="2"/>
        <v>332.64462809917353</v>
      </c>
      <c r="H24" s="33">
        <f t="shared" si="3"/>
        <v>258.7512736329673</v>
      </c>
      <c r="I24" s="33">
        <f t="shared" si="4"/>
        <v>58.30034797738147</v>
      </c>
      <c r="J24" s="33">
        <f t="shared" si="24"/>
        <v>5.252283601565898</v>
      </c>
      <c r="K24" s="29">
        <f t="shared" si="25"/>
        <v>1024.8115470097182</v>
      </c>
      <c r="L24" s="21">
        <f t="shared" si="5"/>
        <v>0.65</v>
      </c>
      <c r="M24" s="33">
        <f t="shared" si="6"/>
        <v>1849.3150684931506</v>
      </c>
      <c r="N24" s="33">
        <f t="shared" si="7"/>
        <v>650</v>
      </c>
      <c r="O24" s="33">
        <f t="shared" si="8"/>
        <v>329.1780821917808</v>
      </c>
      <c r="P24" s="33">
        <f t="shared" si="9"/>
        <v>113.92105263157896</v>
      </c>
      <c r="Q24" s="33">
        <f t="shared" si="10"/>
        <v>10.26315789473684</v>
      </c>
      <c r="R24" s="29">
        <f t="shared" si="26"/>
        <v>2952.6773612112474</v>
      </c>
      <c r="S24" s="21">
        <f t="shared" si="11"/>
        <v>1.0192307692307692</v>
      </c>
      <c r="T24" s="33">
        <f t="shared" si="12"/>
        <v>3698.6301369863013</v>
      </c>
      <c r="U24" s="33">
        <f t="shared" si="13"/>
        <v>1019.2307692307692</v>
      </c>
      <c r="V24" s="33">
        <f t="shared" si="14"/>
        <v>596.0484720758693</v>
      </c>
      <c r="W24" s="33">
        <f t="shared" si="15"/>
        <v>178.63360323886639</v>
      </c>
      <c r="X24" s="33">
        <f t="shared" si="16"/>
        <v>16.093117408906878</v>
      </c>
      <c r="Y24" s="29">
        <f t="shared" si="27"/>
        <v>5508.636098940713</v>
      </c>
      <c r="Z24" s="34">
        <f t="shared" si="17"/>
        <v>1.6785714285714286</v>
      </c>
      <c r="AA24" s="33">
        <f t="shared" si="18"/>
        <v>7397.260273972603</v>
      </c>
      <c r="AB24" s="33">
        <f t="shared" si="19"/>
        <v>1678.5714285714287</v>
      </c>
      <c r="AC24" s="33">
        <f t="shared" si="20"/>
        <v>1112.2309197651664</v>
      </c>
      <c r="AD24" s="33">
        <f t="shared" si="21"/>
        <v>294.19172932330827</v>
      </c>
      <c r="AE24" s="33">
        <f t="shared" si="22"/>
        <v>26.503759398496236</v>
      </c>
      <c r="AF24" s="29">
        <f t="shared" si="28"/>
        <v>10508.758111031004</v>
      </c>
      <c r="AG24" s="19"/>
      <c r="AH24" s="21"/>
      <c r="AI24" s="21"/>
      <c r="AJ24" s="22"/>
      <c r="AK24" s="17"/>
      <c r="AM24" s="2"/>
      <c r="AN24" s="2"/>
      <c r="AO24" s="24"/>
      <c r="AP24" s="24"/>
      <c r="AQ24" s="24"/>
    </row>
    <row r="25" spans="1:43" ht="12.75">
      <c r="A25" t="s">
        <v>96</v>
      </c>
      <c r="B25">
        <f>Mark_up</f>
        <v>0.3</v>
      </c>
      <c r="C25">
        <v>17</v>
      </c>
      <c r="D25" s="19">
        <f t="shared" si="23"/>
        <v>447.36842105263156</v>
      </c>
      <c r="E25" s="21">
        <f t="shared" si="0"/>
        <v>0.33264462809917356</v>
      </c>
      <c r="F25" s="33">
        <f t="shared" si="1"/>
        <v>369.86301369863014</v>
      </c>
      <c r="G25" s="33">
        <f t="shared" si="2"/>
        <v>332.64462809917353</v>
      </c>
      <c r="H25" s="33">
        <f t="shared" si="3"/>
        <v>258.7512736329673</v>
      </c>
      <c r="I25" s="33">
        <f t="shared" si="4"/>
        <v>58.03773379730317</v>
      </c>
      <c r="J25" s="33">
        <f t="shared" si="24"/>
        <v>4.464441061331013</v>
      </c>
      <c r="K25" s="29">
        <f t="shared" si="25"/>
        <v>1023.7610902894052</v>
      </c>
      <c r="L25" s="21">
        <f t="shared" si="5"/>
        <v>0.65</v>
      </c>
      <c r="M25" s="33">
        <f t="shared" si="6"/>
        <v>1849.3150684931506</v>
      </c>
      <c r="N25" s="33">
        <f t="shared" si="7"/>
        <v>650</v>
      </c>
      <c r="O25" s="33">
        <f t="shared" si="8"/>
        <v>329.1780821917808</v>
      </c>
      <c r="P25" s="33">
        <f t="shared" si="9"/>
        <v>113.4078947368421</v>
      </c>
      <c r="Q25" s="33">
        <f t="shared" si="10"/>
        <v>8.723684210526315</v>
      </c>
      <c r="R25" s="29">
        <f t="shared" si="26"/>
        <v>2950.6247296323</v>
      </c>
      <c r="S25" s="21">
        <f t="shared" si="11"/>
        <v>1.0192307692307692</v>
      </c>
      <c r="T25" s="33">
        <f t="shared" si="12"/>
        <v>3698.6301369863013</v>
      </c>
      <c r="U25" s="33">
        <f t="shared" si="13"/>
        <v>1019.2307692307692</v>
      </c>
      <c r="V25" s="33">
        <f t="shared" si="14"/>
        <v>596.0484720758693</v>
      </c>
      <c r="W25" s="33">
        <f t="shared" si="15"/>
        <v>177.828947368421</v>
      </c>
      <c r="X25" s="33">
        <f t="shared" si="16"/>
        <v>13.67914979757085</v>
      </c>
      <c r="Y25" s="29">
        <f t="shared" si="27"/>
        <v>5505.417475458932</v>
      </c>
      <c r="Z25" s="34">
        <f t="shared" si="17"/>
        <v>1.6785714285714286</v>
      </c>
      <c r="AA25" s="33">
        <f t="shared" si="18"/>
        <v>7397.260273972603</v>
      </c>
      <c r="AB25" s="33">
        <f t="shared" si="19"/>
        <v>1678.5714285714287</v>
      </c>
      <c r="AC25" s="33">
        <f t="shared" si="20"/>
        <v>1112.2309197651664</v>
      </c>
      <c r="AD25" s="33">
        <f t="shared" si="21"/>
        <v>292.8665413533834</v>
      </c>
      <c r="AE25" s="33">
        <f t="shared" si="22"/>
        <v>22.528195488721803</v>
      </c>
      <c r="AF25" s="29">
        <f t="shared" si="28"/>
        <v>10503.457359151304</v>
      </c>
      <c r="AG25" s="17"/>
      <c r="AH25" s="17"/>
      <c r="AI25" s="17"/>
      <c r="AJ25" s="17"/>
      <c r="AK25" s="17"/>
      <c r="AM25" s="2"/>
      <c r="AN25" s="2"/>
      <c r="AO25" s="24"/>
      <c r="AP25" s="2"/>
      <c r="AQ25" s="2"/>
    </row>
    <row r="26" spans="1:43" ht="12.75">
      <c r="A26" t="s">
        <v>97</v>
      </c>
      <c r="B26" s="18">
        <f>Document</f>
        <v>0.8</v>
      </c>
      <c r="C26">
        <v>17</v>
      </c>
      <c r="D26" s="19">
        <f t="shared" si="23"/>
        <v>447.36842105263156</v>
      </c>
      <c r="E26" s="21">
        <f t="shared" si="0"/>
        <v>0.33264462809917356</v>
      </c>
      <c r="F26" s="33">
        <f t="shared" si="1"/>
        <v>369.86301369863014</v>
      </c>
      <c r="G26" s="33">
        <f t="shared" si="2"/>
        <v>332.64462809917353</v>
      </c>
      <c r="H26" s="33">
        <f t="shared" si="3"/>
        <v>690.0033963545795</v>
      </c>
      <c r="I26" s="33">
        <f t="shared" si="4"/>
        <v>58.03773379730317</v>
      </c>
      <c r="J26" s="33">
        <f t="shared" si="24"/>
        <v>11.905176163549372</v>
      </c>
      <c r="K26" s="29">
        <f t="shared" si="25"/>
        <v>1462.4539481132358</v>
      </c>
      <c r="L26" s="21">
        <f t="shared" si="5"/>
        <v>0.65</v>
      </c>
      <c r="M26" s="33">
        <f t="shared" si="6"/>
        <v>1849.3150684931506</v>
      </c>
      <c r="N26" s="33">
        <f t="shared" si="7"/>
        <v>650</v>
      </c>
      <c r="O26" s="33">
        <f t="shared" si="8"/>
        <v>877.8082191780821</v>
      </c>
      <c r="P26" s="33">
        <f t="shared" si="9"/>
        <v>113.4078947368421</v>
      </c>
      <c r="Q26" s="33">
        <f t="shared" si="10"/>
        <v>23.26315789473685</v>
      </c>
      <c r="R26" s="29">
        <f t="shared" si="26"/>
        <v>3513.7943403028116</v>
      </c>
      <c r="S26" s="21">
        <f t="shared" si="11"/>
        <v>1.0192307692307692</v>
      </c>
      <c r="T26" s="33">
        <f t="shared" si="12"/>
        <v>3698.6301369863013</v>
      </c>
      <c r="U26" s="33">
        <f t="shared" si="13"/>
        <v>1019.2307692307692</v>
      </c>
      <c r="V26" s="33">
        <f t="shared" si="14"/>
        <v>1589.4625922023183</v>
      </c>
      <c r="W26" s="33">
        <f t="shared" si="15"/>
        <v>177.828947368421</v>
      </c>
      <c r="X26" s="33">
        <f t="shared" si="16"/>
        <v>36.47773279352227</v>
      </c>
      <c r="Y26" s="29">
        <f t="shared" si="27"/>
        <v>6521.630178581333</v>
      </c>
      <c r="Z26" s="34">
        <f t="shared" si="17"/>
        <v>1.6785714285714286</v>
      </c>
      <c r="AA26" s="33">
        <f t="shared" si="18"/>
        <v>7397.260273972603</v>
      </c>
      <c r="AB26" s="33">
        <f t="shared" si="19"/>
        <v>1678.5714285714287</v>
      </c>
      <c r="AC26" s="33">
        <f t="shared" si="20"/>
        <v>2965.949119373777</v>
      </c>
      <c r="AD26" s="33">
        <f t="shared" si="21"/>
        <v>292.8665413533834</v>
      </c>
      <c r="AE26" s="33">
        <f t="shared" si="22"/>
        <v>60.07518796992481</v>
      </c>
      <c r="AF26" s="29">
        <f t="shared" si="28"/>
        <v>12394.722551241119</v>
      </c>
      <c r="AG26" s="17"/>
      <c r="AH26" s="17"/>
      <c r="AI26" s="17"/>
      <c r="AJ26" s="17"/>
      <c r="AK26" s="17"/>
      <c r="AM26" s="2"/>
      <c r="AN26" s="2"/>
      <c r="AO26" s="24"/>
      <c r="AP26" s="2"/>
      <c r="AQ26" s="2"/>
    </row>
    <row r="27" spans="1:43" ht="12.75">
      <c r="A27" t="s">
        <v>98</v>
      </c>
      <c r="B27">
        <f>Document</f>
        <v>0.8</v>
      </c>
      <c r="C27">
        <v>16</v>
      </c>
      <c r="D27" s="19">
        <f t="shared" si="23"/>
        <v>421.05263157894734</v>
      </c>
      <c r="E27" s="21">
        <f t="shared" si="0"/>
        <v>0.33264462809917356</v>
      </c>
      <c r="F27" s="33">
        <f t="shared" si="1"/>
        <v>369.86301369863014</v>
      </c>
      <c r="G27" s="33">
        <f t="shared" si="2"/>
        <v>332.64462809917353</v>
      </c>
      <c r="H27" s="33">
        <f t="shared" si="3"/>
        <v>690.0033963545795</v>
      </c>
      <c r="I27" s="33">
        <f t="shared" si="4"/>
        <v>57.95019573727708</v>
      </c>
      <c r="J27" s="33">
        <f t="shared" si="24"/>
        <v>11.204871683340585</v>
      </c>
      <c r="K27" s="29">
        <f t="shared" si="25"/>
        <v>1461.6661055730008</v>
      </c>
      <c r="L27" s="21">
        <f t="shared" si="5"/>
        <v>0.65</v>
      </c>
      <c r="M27" s="33">
        <f t="shared" si="6"/>
        <v>1849.3150684931506</v>
      </c>
      <c r="N27" s="33">
        <f t="shared" si="7"/>
        <v>650</v>
      </c>
      <c r="O27" s="33">
        <f t="shared" si="8"/>
        <v>877.8082191780821</v>
      </c>
      <c r="P27" s="33">
        <f t="shared" si="9"/>
        <v>113.23684210526316</v>
      </c>
      <c r="Q27" s="33">
        <f t="shared" si="10"/>
        <v>21.894736842105267</v>
      </c>
      <c r="R27" s="29">
        <f t="shared" si="26"/>
        <v>3512.2548666186017</v>
      </c>
      <c r="S27" s="21">
        <f t="shared" si="11"/>
        <v>1.0192307692307692</v>
      </c>
      <c r="T27" s="33">
        <f t="shared" si="12"/>
        <v>3698.6301369863013</v>
      </c>
      <c r="U27" s="33">
        <f t="shared" si="13"/>
        <v>1019.2307692307692</v>
      </c>
      <c r="V27" s="33">
        <f t="shared" si="14"/>
        <v>1589.4625922023183</v>
      </c>
      <c r="W27" s="33">
        <f t="shared" si="15"/>
        <v>177.56072874493927</v>
      </c>
      <c r="X27" s="33">
        <f t="shared" si="16"/>
        <v>34.33198380566802</v>
      </c>
      <c r="Y27" s="29">
        <f t="shared" si="27"/>
        <v>6519.216210969997</v>
      </c>
      <c r="Z27" s="34">
        <f t="shared" si="17"/>
        <v>1.6785714285714286</v>
      </c>
      <c r="AA27" s="33">
        <f t="shared" si="18"/>
        <v>7397.260273972603</v>
      </c>
      <c r="AB27" s="33">
        <f t="shared" si="19"/>
        <v>1678.5714285714287</v>
      </c>
      <c r="AC27" s="33">
        <f t="shared" si="20"/>
        <v>2965.949119373777</v>
      </c>
      <c r="AD27" s="33">
        <f t="shared" si="21"/>
        <v>292.4248120300752</v>
      </c>
      <c r="AE27" s="33">
        <f t="shared" si="22"/>
        <v>56.541353383458656</v>
      </c>
      <c r="AF27" s="29">
        <f t="shared" si="28"/>
        <v>12390.746987331342</v>
      </c>
      <c r="AG27" s="17"/>
      <c r="AH27" s="17"/>
      <c r="AI27" s="17"/>
      <c r="AJ27" s="17"/>
      <c r="AK27" s="17"/>
      <c r="AM27" s="2"/>
      <c r="AN27" s="2"/>
      <c r="AO27" s="24"/>
      <c r="AP27" s="2"/>
      <c r="AQ27" s="2"/>
    </row>
    <row r="28" spans="1:43" ht="12.75">
      <c r="A28" t="s">
        <v>99</v>
      </c>
      <c r="B28">
        <f>Mark_up</f>
        <v>0.3</v>
      </c>
      <c r="C28">
        <v>13</v>
      </c>
      <c r="D28" s="19">
        <f t="shared" si="23"/>
        <v>342.10526315789474</v>
      </c>
      <c r="E28" s="21">
        <f t="shared" si="0"/>
        <v>0.33264462809917356</v>
      </c>
      <c r="F28" s="33">
        <f t="shared" si="1"/>
        <v>369.86301369863014</v>
      </c>
      <c r="G28" s="33">
        <f t="shared" si="2"/>
        <v>332.64462809917353</v>
      </c>
      <c r="H28" s="33">
        <f t="shared" si="3"/>
        <v>258.7512736329673</v>
      </c>
      <c r="I28" s="33">
        <f t="shared" si="4"/>
        <v>57.68758155719879</v>
      </c>
      <c r="J28" s="33">
        <f t="shared" si="24"/>
        <v>3.413984341017834</v>
      </c>
      <c r="K28" s="29">
        <f t="shared" si="25"/>
        <v>1022.3604813289875</v>
      </c>
      <c r="L28" s="21">
        <f t="shared" si="5"/>
        <v>0.65</v>
      </c>
      <c r="M28" s="33">
        <f t="shared" si="6"/>
        <v>1849.3150684931506</v>
      </c>
      <c r="N28" s="33">
        <f t="shared" si="7"/>
        <v>650</v>
      </c>
      <c r="O28" s="33">
        <f t="shared" si="8"/>
        <v>329.1780821917808</v>
      </c>
      <c r="P28" s="33">
        <f t="shared" si="9"/>
        <v>112.72368421052633</v>
      </c>
      <c r="Q28" s="33">
        <f t="shared" si="10"/>
        <v>6.671052631578948</v>
      </c>
      <c r="R28" s="29">
        <f t="shared" si="26"/>
        <v>2947.8878875270366</v>
      </c>
      <c r="S28" s="21">
        <f t="shared" si="11"/>
        <v>1.0192307692307692</v>
      </c>
      <c r="T28" s="33">
        <f t="shared" si="12"/>
        <v>3698.6301369863013</v>
      </c>
      <c r="U28" s="33">
        <f t="shared" si="13"/>
        <v>1019.2307692307692</v>
      </c>
      <c r="V28" s="33">
        <f t="shared" si="14"/>
        <v>596.0484720758693</v>
      </c>
      <c r="W28" s="33">
        <f t="shared" si="15"/>
        <v>176.75607287449392</v>
      </c>
      <c r="X28" s="33">
        <f t="shared" si="16"/>
        <v>10.460526315789473</v>
      </c>
      <c r="Y28" s="29">
        <f t="shared" si="27"/>
        <v>5501.125977483223</v>
      </c>
      <c r="Z28" s="34">
        <f t="shared" si="17"/>
        <v>1.6785714285714286</v>
      </c>
      <c r="AA28" s="33">
        <f t="shared" si="18"/>
        <v>7397.260273972603</v>
      </c>
      <c r="AB28" s="33">
        <f t="shared" si="19"/>
        <v>1678.5714285714287</v>
      </c>
      <c r="AC28" s="33">
        <f t="shared" si="20"/>
        <v>1112.2309197651664</v>
      </c>
      <c r="AD28" s="33">
        <f t="shared" si="21"/>
        <v>291.0996240601504</v>
      </c>
      <c r="AE28" s="33">
        <f t="shared" si="22"/>
        <v>17.227443609022554</v>
      </c>
      <c r="AF28" s="29">
        <f t="shared" si="28"/>
        <v>10496.389689978372</v>
      </c>
      <c r="AG28" s="17"/>
      <c r="AH28" s="17"/>
      <c r="AI28" s="17"/>
      <c r="AJ28" s="17"/>
      <c r="AK28" s="17"/>
      <c r="AM28" s="2"/>
      <c r="AN28" s="2"/>
      <c r="AO28" s="24"/>
      <c r="AP28" s="2"/>
      <c r="AQ28" s="2"/>
    </row>
    <row r="29" spans="1:43" ht="12.75">
      <c r="A29" t="s">
        <v>100</v>
      </c>
      <c r="B29">
        <f>Multimedia</f>
        <v>0.6</v>
      </c>
      <c r="C29">
        <v>13</v>
      </c>
      <c r="D29" s="19">
        <f t="shared" si="23"/>
        <v>342.10526315789474</v>
      </c>
      <c r="E29" s="21">
        <f t="shared" si="0"/>
        <v>0.33264462809917356</v>
      </c>
      <c r="F29" s="33">
        <f t="shared" si="1"/>
        <v>369.86301369863014</v>
      </c>
      <c r="G29" s="33">
        <f t="shared" si="2"/>
        <v>332.64462809917353</v>
      </c>
      <c r="H29" s="33">
        <f t="shared" si="3"/>
        <v>517.5025472659346</v>
      </c>
      <c r="I29" s="33">
        <f t="shared" si="4"/>
        <v>57.68758155719879</v>
      </c>
      <c r="J29" s="33">
        <f t="shared" si="24"/>
        <v>6.827968682035668</v>
      </c>
      <c r="K29" s="29">
        <f t="shared" si="25"/>
        <v>1284.5257393029729</v>
      </c>
      <c r="L29" s="21">
        <f t="shared" si="5"/>
        <v>0.65</v>
      </c>
      <c r="M29" s="33">
        <f t="shared" si="6"/>
        <v>1849.3150684931506</v>
      </c>
      <c r="N29" s="33">
        <f t="shared" si="7"/>
        <v>650</v>
      </c>
      <c r="O29" s="33">
        <f t="shared" si="8"/>
        <v>658.3561643835616</v>
      </c>
      <c r="P29" s="33">
        <f t="shared" si="9"/>
        <v>112.72368421052633</v>
      </c>
      <c r="Q29" s="33">
        <f t="shared" si="10"/>
        <v>13.342105263157896</v>
      </c>
      <c r="R29" s="29">
        <f t="shared" si="26"/>
        <v>3283.7370223503963</v>
      </c>
      <c r="S29" s="21">
        <f t="shared" si="11"/>
        <v>1.0192307692307692</v>
      </c>
      <c r="T29" s="33">
        <f t="shared" si="12"/>
        <v>3698.6301369863013</v>
      </c>
      <c r="U29" s="33">
        <f t="shared" si="13"/>
        <v>1019.2307692307692</v>
      </c>
      <c r="V29" s="33">
        <f t="shared" si="14"/>
        <v>1192.0969441517386</v>
      </c>
      <c r="W29" s="33">
        <f t="shared" si="15"/>
        <v>176.75607287449392</v>
      </c>
      <c r="X29" s="33">
        <f t="shared" si="16"/>
        <v>20.921052631578945</v>
      </c>
      <c r="Y29" s="29">
        <f t="shared" si="27"/>
        <v>6107.634975874883</v>
      </c>
      <c r="Z29" s="34">
        <f t="shared" si="17"/>
        <v>1.6785714285714286</v>
      </c>
      <c r="AA29" s="33">
        <f t="shared" si="18"/>
        <v>7397.260273972603</v>
      </c>
      <c r="AB29" s="33">
        <f t="shared" si="19"/>
        <v>1678.5714285714287</v>
      </c>
      <c r="AC29" s="33">
        <f t="shared" si="20"/>
        <v>2224.461839530333</v>
      </c>
      <c r="AD29" s="33">
        <f t="shared" si="21"/>
        <v>291.0996240601504</v>
      </c>
      <c r="AE29" s="33">
        <f t="shared" si="22"/>
        <v>34.45488721804511</v>
      </c>
      <c r="AF29" s="29">
        <f t="shared" si="28"/>
        <v>11625.848053352562</v>
      </c>
      <c r="AG29" s="17"/>
      <c r="AH29" s="17"/>
      <c r="AI29" s="17"/>
      <c r="AJ29" s="17"/>
      <c r="AK29" s="17"/>
      <c r="AM29" s="2"/>
      <c r="AN29" s="2"/>
      <c r="AO29" s="24"/>
      <c r="AP29" s="2"/>
      <c r="AQ29" s="2"/>
    </row>
    <row r="30" spans="1:43" ht="12.75">
      <c r="A30" t="s">
        <v>101</v>
      </c>
      <c r="B30">
        <f>Multimedia</f>
        <v>0.6</v>
      </c>
      <c r="C30">
        <v>12</v>
      </c>
      <c r="D30" s="19">
        <f t="shared" si="23"/>
        <v>315.7894736842105</v>
      </c>
      <c r="E30" s="21">
        <f t="shared" si="0"/>
        <v>0.33264462809917356</v>
      </c>
      <c r="F30" s="33">
        <f t="shared" si="1"/>
        <v>369.86301369863014</v>
      </c>
      <c r="G30" s="33">
        <f t="shared" si="2"/>
        <v>332.64462809917353</v>
      </c>
      <c r="H30" s="33">
        <f t="shared" si="3"/>
        <v>517.5025472659346</v>
      </c>
      <c r="I30" s="33">
        <f t="shared" si="4"/>
        <v>57.600043497172685</v>
      </c>
      <c r="J30" s="33">
        <f t="shared" si="24"/>
        <v>6.302740321879077</v>
      </c>
      <c r="K30" s="29">
        <f t="shared" si="25"/>
        <v>1283.9129728827902</v>
      </c>
      <c r="L30" s="21">
        <f t="shared" si="5"/>
        <v>0.65</v>
      </c>
      <c r="M30" s="33">
        <f t="shared" si="6"/>
        <v>1849.3150684931506</v>
      </c>
      <c r="N30" s="33">
        <f t="shared" si="7"/>
        <v>650</v>
      </c>
      <c r="O30" s="33">
        <f t="shared" si="8"/>
        <v>658.3561643835616</v>
      </c>
      <c r="P30" s="33">
        <f t="shared" si="9"/>
        <v>112.55263157894737</v>
      </c>
      <c r="Q30" s="33">
        <f t="shared" si="10"/>
        <v>12.31578947368421</v>
      </c>
      <c r="R30" s="29">
        <f t="shared" si="26"/>
        <v>3282.539653929344</v>
      </c>
      <c r="S30" s="21">
        <f t="shared" si="11"/>
        <v>1.0192307692307692</v>
      </c>
      <c r="T30" s="33">
        <f t="shared" si="12"/>
        <v>3698.6301369863013</v>
      </c>
      <c r="U30" s="33">
        <f t="shared" si="13"/>
        <v>1019.2307692307692</v>
      </c>
      <c r="V30" s="33">
        <f t="shared" si="14"/>
        <v>1192.0969441517386</v>
      </c>
      <c r="W30" s="33">
        <f t="shared" si="15"/>
        <v>176.48785425101215</v>
      </c>
      <c r="X30" s="33">
        <f t="shared" si="16"/>
        <v>19.311740890688256</v>
      </c>
      <c r="Y30" s="29">
        <f t="shared" si="27"/>
        <v>6105.7574455105105</v>
      </c>
      <c r="Z30" s="34">
        <f t="shared" si="17"/>
        <v>1.6785714285714286</v>
      </c>
      <c r="AA30" s="33">
        <f t="shared" si="18"/>
        <v>7397.260273972603</v>
      </c>
      <c r="AB30" s="33">
        <f t="shared" si="19"/>
        <v>1678.5714285714287</v>
      </c>
      <c r="AC30" s="33">
        <f t="shared" si="20"/>
        <v>2224.461839530333</v>
      </c>
      <c r="AD30" s="33">
        <f t="shared" si="21"/>
        <v>290.65789473684214</v>
      </c>
      <c r="AE30" s="33">
        <f t="shared" si="22"/>
        <v>31.80451127819549</v>
      </c>
      <c r="AF30" s="29">
        <f t="shared" si="28"/>
        <v>11622.755948089401</v>
      </c>
      <c r="AG30" s="17"/>
      <c r="AH30" s="17"/>
      <c r="AI30" s="17"/>
      <c r="AJ30" s="17"/>
      <c r="AK30" s="17"/>
      <c r="AM30" s="2"/>
      <c r="AN30" s="2"/>
      <c r="AO30" s="24"/>
      <c r="AP30" s="2"/>
      <c r="AQ30" s="2"/>
    </row>
    <row r="31" spans="1:43" ht="12.75">
      <c r="A31" t="s">
        <v>102</v>
      </c>
      <c r="B31">
        <f>Multimedia</f>
        <v>0.6</v>
      </c>
      <c r="C31">
        <v>12</v>
      </c>
      <c r="D31" s="19">
        <f t="shared" si="23"/>
        <v>315.7894736842105</v>
      </c>
      <c r="E31" s="21">
        <f t="shared" si="0"/>
        <v>0.33264462809917356</v>
      </c>
      <c r="F31" s="33">
        <f t="shared" si="1"/>
        <v>369.86301369863014</v>
      </c>
      <c r="G31" s="33">
        <f t="shared" si="2"/>
        <v>332.64462809917353</v>
      </c>
      <c r="H31" s="33">
        <f t="shared" si="3"/>
        <v>517.5025472659346</v>
      </c>
      <c r="I31" s="33">
        <f t="shared" si="4"/>
        <v>57.600043497172685</v>
      </c>
      <c r="J31" s="33">
        <f t="shared" si="24"/>
        <v>6.302740321879077</v>
      </c>
      <c r="K31" s="29">
        <f t="shared" si="25"/>
        <v>1283.9129728827902</v>
      </c>
      <c r="L31" s="21">
        <f t="shared" si="5"/>
        <v>0.65</v>
      </c>
      <c r="M31" s="33">
        <f t="shared" si="6"/>
        <v>1849.3150684931506</v>
      </c>
      <c r="N31" s="33">
        <f t="shared" si="7"/>
        <v>650</v>
      </c>
      <c r="O31" s="33">
        <f t="shared" si="8"/>
        <v>658.3561643835616</v>
      </c>
      <c r="P31" s="33">
        <f t="shared" si="9"/>
        <v>112.55263157894737</v>
      </c>
      <c r="Q31" s="33">
        <f t="shared" si="10"/>
        <v>12.31578947368421</v>
      </c>
      <c r="R31" s="29">
        <f t="shared" si="26"/>
        <v>3282.539653929344</v>
      </c>
      <c r="S31" s="21">
        <f t="shared" si="11"/>
        <v>1.0192307692307692</v>
      </c>
      <c r="T31" s="33">
        <f t="shared" si="12"/>
        <v>3698.6301369863013</v>
      </c>
      <c r="U31" s="33">
        <f t="shared" si="13"/>
        <v>1019.2307692307692</v>
      </c>
      <c r="V31" s="33">
        <f t="shared" si="14"/>
        <v>1192.0969441517386</v>
      </c>
      <c r="W31" s="33">
        <f t="shared" si="15"/>
        <v>176.48785425101215</v>
      </c>
      <c r="X31" s="33">
        <f t="shared" si="16"/>
        <v>19.311740890688256</v>
      </c>
      <c r="Y31" s="29">
        <f t="shared" si="27"/>
        <v>6105.7574455105105</v>
      </c>
      <c r="Z31" s="34">
        <f t="shared" si="17"/>
        <v>1.6785714285714286</v>
      </c>
      <c r="AA31" s="33">
        <f t="shared" si="18"/>
        <v>7397.260273972603</v>
      </c>
      <c r="AB31" s="33">
        <f t="shared" si="19"/>
        <v>1678.5714285714287</v>
      </c>
      <c r="AC31" s="33">
        <f t="shared" si="20"/>
        <v>2224.461839530333</v>
      </c>
      <c r="AD31" s="33">
        <f t="shared" si="21"/>
        <v>290.65789473684214</v>
      </c>
      <c r="AE31" s="33">
        <f t="shared" si="22"/>
        <v>31.80451127819549</v>
      </c>
      <c r="AF31" s="29">
        <f t="shared" si="28"/>
        <v>11622.755948089401</v>
      </c>
      <c r="AG31" s="17"/>
      <c r="AH31" s="17"/>
      <c r="AI31" s="17"/>
      <c r="AJ31" s="17"/>
      <c r="AK31" s="17"/>
      <c r="AM31" s="2"/>
      <c r="AN31" s="2"/>
      <c r="AO31" s="24"/>
      <c r="AP31" s="2"/>
      <c r="AQ31" s="2"/>
    </row>
    <row r="32" spans="1:43" ht="12.75">
      <c r="A32" t="s">
        <v>103</v>
      </c>
      <c r="B32">
        <f>Mark_up</f>
        <v>0.3</v>
      </c>
      <c r="C32">
        <v>8</v>
      </c>
      <c r="D32" s="19">
        <f t="shared" si="23"/>
        <v>210.52631578947367</v>
      </c>
      <c r="E32" s="21">
        <f t="shared" si="0"/>
        <v>0.33264462809917356</v>
      </c>
      <c r="F32" s="33">
        <f t="shared" si="1"/>
        <v>369.86301369863014</v>
      </c>
      <c r="G32" s="33">
        <f t="shared" si="2"/>
        <v>332.64462809917353</v>
      </c>
      <c r="H32" s="33">
        <f t="shared" si="3"/>
        <v>258.7512736329673</v>
      </c>
      <c r="I32" s="33">
        <f t="shared" si="4"/>
        <v>57.24989125706829</v>
      </c>
      <c r="J32" s="33">
        <f t="shared" si="24"/>
        <v>2.100913440626359</v>
      </c>
      <c r="K32" s="29">
        <f t="shared" si="25"/>
        <v>1020.6097201284656</v>
      </c>
      <c r="L32" s="21">
        <f t="shared" si="5"/>
        <v>0.65</v>
      </c>
      <c r="M32" s="33">
        <f t="shared" si="6"/>
        <v>1849.3150684931506</v>
      </c>
      <c r="N32" s="33">
        <f t="shared" si="7"/>
        <v>650</v>
      </c>
      <c r="O32" s="33">
        <f t="shared" si="8"/>
        <v>329.1780821917808</v>
      </c>
      <c r="P32" s="33">
        <f t="shared" si="9"/>
        <v>111.86842105263159</v>
      </c>
      <c r="Q32" s="33">
        <f t="shared" si="10"/>
        <v>4.105263157894736</v>
      </c>
      <c r="R32" s="29">
        <f t="shared" si="26"/>
        <v>2944.466834895458</v>
      </c>
      <c r="S32" s="21">
        <f t="shared" si="11"/>
        <v>1.0192307692307692</v>
      </c>
      <c r="T32" s="33">
        <f t="shared" si="12"/>
        <v>3698.6301369863013</v>
      </c>
      <c r="U32" s="33">
        <f t="shared" si="13"/>
        <v>1019.2307692307692</v>
      </c>
      <c r="V32" s="33">
        <f t="shared" si="14"/>
        <v>596.0484720758693</v>
      </c>
      <c r="W32" s="33">
        <f t="shared" si="15"/>
        <v>175.414979757085</v>
      </c>
      <c r="X32" s="33">
        <f t="shared" si="16"/>
        <v>6.437246963562751</v>
      </c>
      <c r="Y32" s="29">
        <f t="shared" si="27"/>
        <v>5495.761605013588</v>
      </c>
      <c r="Z32" s="34">
        <f t="shared" si="17"/>
        <v>1.6785714285714286</v>
      </c>
      <c r="AA32" s="33">
        <f t="shared" si="18"/>
        <v>7397.260273972603</v>
      </c>
      <c r="AB32" s="33">
        <f t="shared" si="19"/>
        <v>1678.5714285714287</v>
      </c>
      <c r="AC32" s="33">
        <f t="shared" si="20"/>
        <v>1112.2309197651664</v>
      </c>
      <c r="AD32" s="33">
        <f t="shared" si="21"/>
        <v>288.890977443609</v>
      </c>
      <c r="AE32" s="33">
        <f t="shared" si="22"/>
        <v>10.601503759398497</v>
      </c>
      <c r="AF32" s="29">
        <f t="shared" si="28"/>
        <v>10487.555103512206</v>
      </c>
      <c r="AG32" s="17"/>
      <c r="AH32" s="17"/>
      <c r="AI32" s="17"/>
      <c r="AJ32" s="17"/>
      <c r="AK32" s="17"/>
      <c r="AM32" s="2"/>
      <c r="AN32" s="2"/>
      <c r="AO32" s="24"/>
      <c r="AP32" s="2"/>
      <c r="AQ32" s="2"/>
    </row>
    <row r="33" spans="1:43" ht="12.75">
      <c r="A33" t="s">
        <v>104</v>
      </c>
      <c r="B33">
        <f aca="true" t="shared" si="29" ref="B33:B39">Multimedia</f>
        <v>0.6</v>
      </c>
      <c r="C33">
        <v>7</v>
      </c>
      <c r="D33" s="19">
        <f t="shared" si="23"/>
        <v>184.21052631578945</v>
      </c>
      <c r="E33" s="21">
        <f t="shared" si="0"/>
        <v>0.33264462809917356</v>
      </c>
      <c r="F33" s="33">
        <f t="shared" si="1"/>
        <v>369.86301369863014</v>
      </c>
      <c r="G33" s="33">
        <f t="shared" si="2"/>
        <v>332.64462809917353</v>
      </c>
      <c r="H33" s="33">
        <f t="shared" si="3"/>
        <v>517.5025472659346</v>
      </c>
      <c r="I33" s="33">
        <f t="shared" si="4"/>
        <v>57.162353197042194</v>
      </c>
      <c r="J33" s="33">
        <f t="shared" si="24"/>
        <v>3.6765985210961283</v>
      </c>
      <c r="K33" s="29">
        <f t="shared" si="25"/>
        <v>1280.8491407818767</v>
      </c>
      <c r="L33" s="21">
        <f t="shared" si="5"/>
        <v>0.65</v>
      </c>
      <c r="M33" s="33">
        <f t="shared" si="6"/>
        <v>1849.3150684931506</v>
      </c>
      <c r="N33" s="33">
        <f t="shared" si="7"/>
        <v>650</v>
      </c>
      <c r="O33" s="33">
        <f t="shared" si="8"/>
        <v>658.3561643835616</v>
      </c>
      <c r="P33" s="33">
        <f t="shared" si="9"/>
        <v>111.69736842105263</v>
      </c>
      <c r="Q33" s="33">
        <f t="shared" si="10"/>
        <v>7.1842105263157885</v>
      </c>
      <c r="R33" s="29">
        <f t="shared" si="26"/>
        <v>3276.5528118240804</v>
      </c>
      <c r="S33" s="21">
        <f t="shared" si="11"/>
        <v>1.0192307692307692</v>
      </c>
      <c r="T33" s="33">
        <f t="shared" si="12"/>
        <v>3698.6301369863013</v>
      </c>
      <c r="U33" s="33">
        <f t="shared" si="13"/>
        <v>1019.2307692307692</v>
      </c>
      <c r="V33" s="33">
        <f t="shared" si="14"/>
        <v>1192.0969441517386</v>
      </c>
      <c r="W33" s="33">
        <f t="shared" si="15"/>
        <v>175.14676113360323</v>
      </c>
      <c r="X33" s="33">
        <f t="shared" si="16"/>
        <v>11.265182186234815</v>
      </c>
      <c r="Y33" s="29">
        <f t="shared" si="27"/>
        <v>6096.369793688647</v>
      </c>
      <c r="Z33" s="34">
        <f t="shared" si="17"/>
        <v>1.6785714285714286</v>
      </c>
      <c r="AA33" s="33">
        <f t="shared" si="18"/>
        <v>7397.260273972603</v>
      </c>
      <c r="AB33" s="33">
        <f t="shared" si="19"/>
        <v>1678.5714285714287</v>
      </c>
      <c r="AC33" s="33">
        <f t="shared" si="20"/>
        <v>2224.461839530333</v>
      </c>
      <c r="AD33" s="33">
        <f t="shared" si="21"/>
        <v>288.44924812030075</v>
      </c>
      <c r="AE33" s="33">
        <f t="shared" si="22"/>
        <v>18.552631578947366</v>
      </c>
      <c r="AF33" s="29">
        <f t="shared" si="28"/>
        <v>11607.295421773613</v>
      </c>
      <c r="AG33" s="17"/>
      <c r="AH33" s="17"/>
      <c r="AI33" s="17"/>
      <c r="AJ33" s="17"/>
      <c r="AK33" s="17"/>
      <c r="AM33" s="2"/>
      <c r="AN33" s="2"/>
      <c r="AO33" s="24"/>
      <c r="AP33" s="2"/>
      <c r="AQ33" s="2"/>
    </row>
    <row r="34" spans="1:43" ht="12.75">
      <c r="A34" t="s">
        <v>105</v>
      </c>
      <c r="B34">
        <f t="shared" si="29"/>
        <v>0.6</v>
      </c>
      <c r="C34">
        <v>6</v>
      </c>
      <c r="D34" s="19">
        <f t="shared" si="23"/>
        <v>157.89473684210526</v>
      </c>
      <c r="E34" s="21">
        <f t="shared" si="0"/>
        <v>0.33264462809917356</v>
      </c>
      <c r="F34" s="33">
        <f t="shared" si="1"/>
        <v>369.86301369863014</v>
      </c>
      <c r="G34" s="33">
        <f t="shared" si="2"/>
        <v>332.64462809917353</v>
      </c>
      <c r="H34" s="33">
        <f t="shared" si="3"/>
        <v>517.5025472659346</v>
      </c>
      <c r="I34" s="33">
        <f t="shared" si="4"/>
        <v>57.07481513701609</v>
      </c>
      <c r="J34" s="33">
        <f t="shared" si="24"/>
        <v>3.1513701609395386</v>
      </c>
      <c r="K34" s="29">
        <f t="shared" si="25"/>
        <v>1280.2363743616938</v>
      </c>
      <c r="L34" s="21">
        <f t="shared" si="5"/>
        <v>0.65</v>
      </c>
      <c r="M34" s="33">
        <f t="shared" si="6"/>
        <v>1849.3150684931506</v>
      </c>
      <c r="N34" s="33">
        <f t="shared" si="7"/>
        <v>650</v>
      </c>
      <c r="O34" s="33">
        <f t="shared" si="8"/>
        <v>658.3561643835616</v>
      </c>
      <c r="P34" s="33">
        <f t="shared" si="9"/>
        <v>111.52631578947368</v>
      </c>
      <c r="Q34" s="33">
        <f t="shared" si="10"/>
        <v>6.157894736842105</v>
      </c>
      <c r="R34" s="29">
        <f t="shared" si="26"/>
        <v>3275.355443403028</v>
      </c>
      <c r="S34" s="21">
        <f t="shared" si="11"/>
        <v>1.0192307692307692</v>
      </c>
      <c r="T34" s="33">
        <f t="shared" si="12"/>
        <v>3698.6301369863013</v>
      </c>
      <c r="U34" s="33">
        <f t="shared" si="13"/>
        <v>1019.2307692307692</v>
      </c>
      <c r="V34" s="33">
        <f t="shared" si="14"/>
        <v>1192.0969441517386</v>
      </c>
      <c r="W34" s="33">
        <f t="shared" si="15"/>
        <v>174.87854251012143</v>
      </c>
      <c r="X34" s="33">
        <f t="shared" si="16"/>
        <v>9.655870445344128</v>
      </c>
      <c r="Y34" s="29">
        <f t="shared" si="27"/>
        <v>6094.492263324275</v>
      </c>
      <c r="Z34" s="34">
        <f t="shared" si="17"/>
        <v>1.6785714285714286</v>
      </c>
      <c r="AA34" s="33">
        <f t="shared" si="18"/>
        <v>7397.260273972603</v>
      </c>
      <c r="AB34" s="33">
        <f t="shared" si="19"/>
        <v>1678.5714285714287</v>
      </c>
      <c r="AC34" s="33">
        <f t="shared" si="20"/>
        <v>2224.461839530333</v>
      </c>
      <c r="AD34" s="33">
        <f t="shared" si="21"/>
        <v>288.0075187969925</v>
      </c>
      <c r="AE34" s="33">
        <f t="shared" si="22"/>
        <v>15.902255639097746</v>
      </c>
      <c r="AF34" s="29">
        <f t="shared" si="28"/>
        <v>11604.203316510455</v>
      </c>
      <c r="AG34" s="17"/>
      <c r="AH34" s="17"/>
      <c r="AI34" s="17"/>
      <c r="AJ34" s="17"/>
      <c r="AK34" s="17"/>
      <c r="AM34" s="2"/>
      <c r="AN34" s="2"/>
      <c r="AO34" s="24"/>
      <c r="AP34" s="2"/>
      <c r="AQ34" s="2"/>
    </row>
    <row r="35" spans="1:43" ht="12.75">
      <c r="A35" t="s">
        <v>106</v>
      </c>
      <c r="B35">
        <f t="shared" si="29"/>
        <v>0.6</v>
      </c>
      <c r="C35">
        <v>3</v>
      </c>
      <c r="D35" s="19">
        <f t="shared" si="23"/>
        <v>78.94736842105263</v>
      </c>
      <c r="E35" s="21">
        <f t="shared" si="0"/>
        <v>0.33264462809917356</v>
      </c>
      <c r="F35" s="33">
        <f t="shared" si="1"/>
        <v>369.86301369863014</v>
      </c>
      <c r="G35" s="33">
        <f t="shared" si="2"/>
        <v>332.64462809917353</v>
      </c>
      <c r="H35" s="33">
        <f t="shared" si="3"/>
        <v>517.5025472659346</v>
      </c>
      <c r="I35" s="33">
        <f t="shared" si="4"/>
        <v>56.81220095693779</v>
      </c>
      <c r="J35" s="33">
        <f t="shared" si="24"/>
        <v>1.5756850804697693</v>
      </c>
      <c r="K35" s="29">
        <f t="shared" si="25"/>
        <v>1278.398075101146</v>
      </c>
      <c r="L35" s="21">
        <f t="shared" si="5"/>
        <v>0.65</v>
      </c>
      <c r="M35" s="33">
        <f t="shared" si="6"/>
        <v>1849.3150684931506</v>
      </c>
      <c r="N35" s="33">
        <f t="shared" si="7"/>
        <v>650</v>
      </c>
      <c r="O35" s="33">
        <f t="shared" si="8"/>
        <v>658.3561643835616</v>
      </c>
      <c r="P35" s="33">
        <f t="shared" si="9"/>
        <v>111.01315789473682</v>
      </c>
      <c r="Q35" s="33">
        <f t="shared" si="10"/>
        <v>3.0789473684210527</v>
      </c>
      <c r="R35" s="29">
        <f t="shared" si="26"/>
        <v>3271.76333813987</v>
      </c>
      <c r="S35" s="21">
        <f t="shared" si="11"/>
        <v>1.0192307692307692</v>
      </c>
      <c r="T35" s="33">
        <f t="shared" si="12"/>
        <v>3698.6301369863013</v>
      </c>
      <c r="U35" s="33">
        <f t="shared" si="13"/>
        <v>1019.2307692307692</v>
      </c>
      <c r="V35" s="33">
        <f t="shared" si="14"/>
        <v>1192.0969441517386</v>
      </c>
      <c r="W35" s="33">
        <f t="shared" si="15"/>
        <v>174.07388663967606</v>
      </c>
      <c r="X35" s="33">
        <f t="shared" si="16"/>
        <v>4.827935222672064</v>
      </c>
      <c r="Y35" s="29">
        <f t="shared" si="27"/>
        <v>6088.859672231158</v>
      </c>
      <c r="Z35" s="34">
        <f t="shared" si="17"/>
        <v>1.6785714285714286</v>
      </c>
      <c r="AA35" s="33">
        <f t="shared" si="18"/>
        <v>7397.260273972603</v>
      </c>
      <c r="AB35" s="33">
        <f t="shared" si="19"/>
        <v>1678.5714285714287</v>
      </c>
      <c r="AC35" s="33">
        <f t="shared" si="20"/>
        <v>2224.461839530333</v>
      </c>
      <c r="AD35" s="33">
        <f t="shared" si="21"/>
        <v>286.68233082706763</v>
      </c>
      <c r="AE35" s="33">
        <f t="shared" si="22"/>
        <v>7.951127819548873</v>
      </c>
      <c r="AF35" s="29">
        <f t="shared" si="28"/>
        <v>11594.927000720982</v>
      </c>
      <c r="AG35" s="17"/>
      <c r="AH35" s="17"/>
      <c r="AI35" s="17"/>
      <c r="AJ35" s="17"/>
      <c r="AK35" s="17"/>
      <c r="AM35" s="2"/>
      <c r="AN35" s="2"/>
      <c r="AO35" s="24"/>
      <c r="AP35" s="2"/>
      <c r="AQ35" s="2"/>
    </row>
    <row r="36" spans="1:43" ht="12.75">
      <c r="A36" t="s">
        <v>107</v>
      </c>
      <c r="B36">
        <f t="shared" si="29"/>
        <v>0.6</v>
      </c>
      <c r="C36">
        <v>2</v>
      </c>
      <c r="D36" s="19">
        <f t="shared" si="23"/>
        <v>52.63157894736842</v>
      </c>
      <c r="E36" s="21">
        <f t="shared" si="0"/>
        <v>0.33264462809917356</v>
      </c>
      <c r="F36" s="33">
        <f t="shared" si="1"/>
        <v>369.86301369863014</v>
      </c>
      <c r="G36" s="33">
        <f t="shared" si="2"/>
        <v>332.64462809917353</v>
      </c>
      <c r="H36" s="33">
        <f t="shared" si="3"/>
        <v>517.5025472659346</v>
      </c>
      <c r="I36" s="33">
        <f t="shared" si="4"/>
        <v>56.724662896911695</v>
      </c>
      <c r="J36" s="33">
        <f t="shared" si="24"/>
        <v>1.0504567203131796</v>
      </c>
      <c r="K36" s="29">
        <f t="shared" si="25"/>
        <v>1277.7853086809632</v>
      </c>
      <c r="L36" s="21">
        <f t="shared" si="5"/>
        <v>0.65</v>
      </c>
      <c r="M36" s="33">
        <f t="shared" si="6"/>
        <v>1849.3150684931506</v>
      </c>
      <c r="N36" s="33">
        <f t="shared" si="7"/>
        <v>650</v>
      </c>
      <c r="O36" s="33">
        <f t="shared" si="8"/>
        <v>658.3561643835616</v>
      </c>
      <c r="P36" s="33">
        <f t="shared" si="9"/>
        <v>110.84210526315789</v>
      </c>
      <c r="Q36" s="33">
        <f t="shared" si="10"/>
        <v>2.052631578947368</v>
      </c>
      <c r="R36" s="29">
        <f t="shared" si="26"/>
        <v>3270.5659697188175</v>
      </c>
      <c r="S36" s="21">
        <f t="shared" si="11"/>
        <v>1.0192307692307692</v>
      </c>
      <c r="T36" s="33">
        <f t="shared" si="12"/>
        <v>3698.6301369863013</v>
      </c>
      <c r="U36" s="33">
        <f t="shared" si="13"/>
        <v>1019.2307692307692</v>
      </c>
      <c r="V36" s="33">
        <f t="shared" si="14"/>
        <v>1192.0969441517386</v>
      </c>
      <c r="W36" s="33">
        <f t="shared" si="15"/>
        <v>173.80566801619432</v>
      </c>
      <c r="X36" s="33">
        <f t="shared" si="16"/>
        <v>3.2186234817813757</v>
      </c>
      <c r="Y36" s="29">
        <f t="shared" si="27"/>
        <v>6086.982141866785</v>
      </c>
      <c r="Z36" s="34">
        <f t="shared" si="17"/>
        <v>1.6785714285714286</v>
      </c>
      <c r="AA36" s="33">
        <f t="shared" si="18"/>
        <v>7397.260273972603</v>
      </c>
      <c r="AB36" s="33">
        <f t="shared" si="19"/>
        <v>1678.5714285714287</v>
      </c>
      <c r="AC36" s="33">
        <f t="shared" si="20"/>
        <v>2224.461839530333</v>
      </c>
      <c r="AD36" s="33">
        <f t="shared" si="21"/>
        <v>286.24060150375936</v>
      </c>
      <c r="AE36" s="33">
        <f t="shared" si="22"/>
        <v>5.3007518796992485</v>
      </c>
      <c r="AF36" s="29">
        <f t="shared" si="28"/>
        <v>11591.834895457823</v>
      </c>
      <c r="AG36" s="17"/>
      <c r="AH36" s="17"/>
      <c r="AI36" s="17"/>
      <c r="AJ36" s="17"/>
      <c r="AK36" s="17"/>
      <c r="AM36" s="2"/>
      <c r="AN36" s="2"/>
      <c r="AO36" s="24"/>
      <c r="AP36" s="2"/>
      <c r="AQ36" s="2"/>
    </row>
    <row r="37" spans="1:43" ht="12.75">
      <c r="A37" t="s">
        <v>108</v>
      </c>
      <c r="B37">
        <f t="shared" si="29"/>
        <v>0.6</v>
      </c>
      <c r="C37">
        <v>1</v>
      </c>
      <c r="D37" s="19">
        <f t="shared" si="23"/>
        <v>26.31578947368421</v>
      </c>
      <c r="E37" s="21">
        <f t="shared" si="0"/>
        <v>0.33264462809917356</v>
      </c>
      <c r="F37" s="33">
        <f t="shared" si="1"/>
        <v>369.86301369863014</v>
      </c>
      <c r="G37" s="33">
        <f t="shared" si="2"/>
        <v>332.64462809917353</v>
      </c>
      <c r="H37" s="33">
        <f t="shared" si="3"/>
        <v>517.5025472659346</v>
      </c>
      <c r="I37" s="33">
        <f t="shared" si="4"/>
        <v>56.637124836885604</v>
      </c>
      <c r="J37" s="33">
        <f t="shared" si="24"/>
        <v>0.5252283601565898</v>
      </c>
      <c r="K37" s="29">
        <f t="shared" si="25"/>
        <v>1277.1725422607806</v>
      </c>
      <c r="L37" s="21">
        <f t="shared" si="5"/>
        <v>0.65</v>
      </c>
      <c r="M37" s="33">
        <f t="shared" si="6"/>
        <v>1849.3150684931506</v>
      </c>
      <c r="N37" s="33">
        <f t="shared" si="7"/>
        <v>650</v>
      </c>
      <c r="O37" s="33">
        <f t="shared" si="8"/>
        <v>658.3561643835616</v>
      </c>
      <c r="P37" s="33">
        <f t="shared" si="9"/>
        <v>110.67105263157896</v>
      </c>
      <c r="Q37" s="33">
        <f t="shared" si="10"/>
        <v>1.026315789473684</v>
      </c>
      <c r="R37" s="29">
        <f t="shared" si="26"/>
        <v>3269.3686012977646</v>
      </c>
      <c r="S37" s="21">
        <f t="shared" si="11"/>
        <v>1.0192307692307692</v>
      </c>
      <c r="T37" s="33">
        <f t="shared" si="12"/>
        <v>3698.6301369863013</v>
      </c>
      <c r="U37" s="33">
        <f t="shared" si="13"/>
        <v>1019.2307692307692</v>
      </c>
      <c r="V37" s="33">
        <f t="shared" si="14"/>
        <v>1192.0969441517386</v>
      </c>
      <c r="W37" s="33">
        <f t="shared" si="15"/>
        <v>173.53744939271255</v>
      </c>
      <c r="X37" s="33">
        <f t="shared" si="16"/>
        <v>1.6093117408906878</v>
      </c>
      <c r="Y37" s="29">
        <f t="shared" si="27"/>
        <v>6085.104611502414</v>
      </c>
      <c r="Z37" s="34">
        <f t="shared" si="17"/>
        <v>1.6785714285714286</v>
      </c>
      <c r="AA37" s="33">
        <f t="shared" si="18"/>
        <v>7397.260273972603</v>
      </c>
      <c r="AB37" s="33">
        <f t="shared" si="19"/>
        <v>1678.5714285714287</v>
      </c>
      <c r="AC37" s="33">
        <f t="shared" si="20"/>
        <v>2224.461839530333</v>
      </c>
      <c r="AD37" s="33">
        <f t="shared" si="21"/>
        <v>285.79887218045116</v>
      </c>
      <c r="AE37" s="33">
        <f t="shared" si="22"/>
        <v>2.6503759398496243</v>
      </c>
      <c r="AF37" s="29">
        <f t="shared" si="28"/>
        <v>11588.742790194665</v>
      </c>
      <c r="AG37" s="17"/>
      <c r="AH37" s="17"/>
      <c r="AI37" s="17"/>
      <c r="AJ37" s="17"/>
      <c r="AK37" s="17"/>
      <c r="AM37" s="2"/>
      <c r="AN37" s="2"/>
      <c r="AO37" s="24"/>
      <c r="AP37" s="2"/>
      <c r="AQ37" s="2"/>
    </row>
    <row r="38" spans="1:43" ht="12.75">
      <c r="A38" t="s">
        <v>109</v>
      </c>
      <c r="B38">
        <f t="shared" si="29"/>
        <v>0.6</v>
      </c>
      <c r="C38">
        <v>1</v>
      </c>
      <c r="D38" s="19">
        <f t="shared" si="23"/>
        <v>26.31578947368421</v>
      </c>
      <c r="E38" s="21">
        <f t="shared" si="0"/>
        <v>0.33264462809917356</v>
      </c>
      <c r="F38" s="33">
        <f t="shared" si="1"/>
        <v>369.86301369863014</v>
      </c>
      <c r="G38" s="33">
        <f t="shared" si="2"/>
        <v>332.64462809917353</v>
      </c>
      <c r="H38" s="33">
        <f t="shared" si="3"/>
        <v>517.5025472659346</v>
      </c>
      <c r="I38" s="33">
        <f t="shared" si="4"/>
        <v>56.637124836885604</v>
      </c>
      <c r="J38" s="33">
        <f t="shared" si="24"/>
        <v>0.5252283601565898</v>
      </c>
      <c r="K38" s="29">
        <f t="shared" si="25"/>
        <v>1277.1725422607806</v>
      </c>
      <c r="L38" s="21">
        <f t="shared" si="5"/>
        <v>0.65</v>
      </c>
      <c r="M38" s="33">
        <f t="shared" si="6"/>
        <v>1849.3150684931506</v>
      </c>
      <c r="N38" s="33">
        <f t="shared" si="7"/>
        <v>650</v>
      </c>
      <c r="O38" s="33">
        <f t="shared" si="8"/>
        <v>658.3561643835616</v>
      </c>
      <c r="P38" s="33">
        <f t="shared" si="9"/>
        <v>110.67105263157896</v>
      </c>
      <c r="Q38" s="33">
        <f t="shared" si="10"/>
        <v>1.026315789473684</v>
      </c>
      <c r="R38" s="29">
        <f t="shared" si="26"/>
        <v>3269.3686012977646</v>
      </c>
      <c r="S38" s="21">
        <f t="shared" si="11"/>
        <v>1.0192307692307692</v>
      </c>
      <c r="T38" s="33">
        <f t="shared" si="12"/>
        <v>3698.6301369863013</v>
      </c>
      <c r="U38" s="33">
        <f t="shared" si="13"/>
        <v>1019.2307692307692</v>
      </c>
      <c r="V38" s="33">
        <f t="shared" si="14"/>
        <v>1192.0969441517386</v>
      </c>
      <c r="W38" s="33">
        <f t="shared" si="15"/>
        <v>173.53744939271255</v>
      </c>
      <c r="X38" s="33">
        <f t="shared" si="16"/>
        <v>1.6093117408906878</v>
      </c>
      <c r="Y38" s="29">
        <f t="shared" si="27"/>
        <v>6085.104611502414</v>
      </c>
      <c r="Z38" s="34">
        <f t="shared" si="17"/>
        <v>1.6785714285714286</v>
      </c>
      <c r="AA38" s="33">
        <f t="shared" si="18"/>
        <v>7397.260273972603</v>
      </c>
      <c r="AB38" s="33">
        <f t="shared" si="19"/>
        <v>1678.5714285714287</v>
      </c>
      <c r="AC38" s="33">
        <f t="shared" si="20"/>
        <v>2224.461839530333</v>
      </c>
      <c r="AD38" s="33">
        <f t="shared" si="21"/>
        <v>285.79887218045116</v>
      </c>
      <c r="AE38" s="33">
        <f t="shared" si="22"/>
        <v>2.6503759398496243</v>
      </c>
      <c r="AF38" s="29">
        <f t="shared" si="28"/>
        <v>11588.742790194665</v>
      </c>
      <c r="AG38" s="17"/>
      <c r="AH38" s="17"/>
      <c r="AI38" s="17"/>
      <c r="AJ38" s="17"/>
      <c r="AK38" s="17"/>
      <c r="AM38" s="2"/>
      <c r="AN38" s="2"/>
      <c r="AO38" s="24"/>
      <c r="AP38" s="2"/>
      <c r="AQ38" s="2"/>
    </row>
    <row r="39" spans="1:43" ht="12.75">
      <c r="A39" t="s">
        <v>110</v>
      </c>
      <c r="B39">
        <f t="shared" si="29"/>
        <v>0.6</v>
      </c>
      <c r="C39">
        <v>1</v>
      </c>
      <c r="D39" s="19">
        <f t="shared" si="23"/>
        <v>26.31578947368421</v>
      </c>
      <c r="E39" s="21">
        <f t="shared" si="0"/>
        <v>0.33264462809917356</v>
      </c>
      <c r="F39" s="33">
        <f t="shared" si="1"/>
        <v>369.86301369863014</v>
      </c>
      <c r="G39" s="33">
        <f t="shared" si="2"/>
        <v>332.64462809917353</v>
      </c>
      <c r="H39" s="33">
        <f t="shared" si="3"/>
        <v>517.5025472659346</v>
      </c>
      <c r="I39" s="33">
        <f t="shared" si="4"/>
        <v>56.637124836885604</v>
      </c>
      <c r="J39" s="33">
        <f t="shared" si="24"/>
        <v>0.5252283601565898</v>
      </c>
      <c r="K39" s="29">
        <f t="shared" si="25"/>
        <v>1277.1725422607806</v>
      </c>
      <c r="L39" s="21">
        <f t="shared" si="5"/>
        <v>0.65</v>
      </c>
      <c r="M39" s="33">
        <f t="shared" si="6"/>
        <v>1849.3150684931506</v>
      </c>
      <c r="N39" s="33">
        <f t="shared" si="7"/>
        <v>650</v>
      </c>
      <c r="O39" s="33">
        <f t="shared" si="8"/>
        <v>658.3561643835616</v>
      </c>
      <c r="P39" s="33">
        <f t="shared" si="9"/>
        <v>110.67105263157896</v>
      </c>
      <c r="Q39" s="33">
        <f t="shared" si="10"/>
        <v>1.026315789473684</v>
      </c>
      <c r="R39" s="29">
        <f t="shared" si="26"/>
        <v>3269.3686012977646</v>
      </c>
      <c r="S39" s="21">
        <f t="shared" si="11"/>
        <v>1.0192307692307692</v>
      </c>
      <c r="T39" s="33">
        <f t="shared" si="12"/>
        <v>3698.6301369863013</v>
      </c>
      <c r="U39" s="33">
        <f t="shared" si="13"/>
        <v>1019.2307692307692</v>
      </c>
      <c r="V39" s="33">
        <f t="shared" si="14"/>
        <v>1192.0969441517386</v>
      </c>
      <c r="W39" s="33">
        <f t="shared" si="15"/>
        <v>173.53744939271255</v>
      </c>
      <c r="X39" s="33">
        <f t="shared" si="16"/>
        <v>1.6093117408906878</v>
      </c>
      <c r="Y39" s="29">
        <f t="shared" si="27"/>
        <v>6085.104611502414</v>
      </c>
      <c r="Z39" s="34">
        <f t="shared" si="17"/>
        <v>1.6785714285714286</v>
      </c>
      <c r="AA39" s="33">
        <f t="shared" si="18"/>
        <v>7397.260273972603</v>
      </c>
      <c r="AB39" s="33">
        <f t="shared" si="19"/>
        <v>1678.5714285714287</v>
      </c>
      <c r="AC39" s="33">
        <f t="shared" si="20"/>
        <v>2224.461839530333</v>
      </c>
      <c r="AD39" s="33">
        <f t="shared" si="21"/>
        <v>285.79887218045116</v>
      </c>
      <c r="AE39" s="33">
        <f t="shared" si="22"/>
        <v>2.6503759398496243</v>
      </c>
      <c r="AF39" s="29">
        <f t="shared" si="28"/>
        <v>11588.742790194665</v>
      </c>
      <c r="AG39" s="17"/>
      <c r="AH39" s="17"/>
      <c r="AI39" s="17"/>
      <c r="AJ39" s="17"/>
      <c r="AK39" s="17"/>
      <c r="AM39" s="2"/>
      <c r="AN39" s="2"/>
      <c r="AO39" s="24"/>
      <c r="AP39" s="2"/>
      <c r="AQ39" s="2"/>
    </row>
    <row r="40" spans="2:43" ht="12.75">
      <c r="B40" s="6" t="s">
        <v>131</v>
      </c>
      <c r="F40" s="47">
        <f>SUM(F4:F39)</f>
        <v>13315.06849315069</v>
      </c>
      <c r="G40" s="47">
        <f>SUM(G4:G39)</f>
        <v>11975.206611570238</v>
      </c>
      <c r="H40" s="47">
        <f>SUM(H4:H39)</f>
        <v>16560.08151250991</v>
      </c>
      <c r="I40" s="47">
        <f>SUM(I4:I39)</f>
        <v>24252.769682470655</v>
      </c>
      <c r="J40" s="47">
        <f>SUM(J4:J39)</f>
        <v>66494.17301000434</v>
      </c>
      <c r="K40" s="17"/>
      <c r="L40" s="17"/>
      <c r="M40" s="33">
        <f>SUM(M4:M39)</f>
        <v>66575.34246575346</v>
      </c>
      <c r="N40" s="33">
        <f>SUM(N4:N39)</f>
        <v>23400</v>
      </c>
      <c r="O40" s="33">
        <f>SUM(O4:O39)</f>
        <v>21067.397260273956</v>
      </c>
      <c r="P40" s="33">
        <f>SUM(P4:P39)</f>
        <v>47390.8157894737</v>
      </c>
      <c r="Q40" s="33">
        <f>SUM(Q4:Q39)</f>
        <v>129932.09210526315</v>
      </c>
      <c r="R40" s="17"/>
      <c r="S40" s="17"/>
      <c r="T40" s="47">
        <f>SUM(T4:T39)</f>
        <v>133150.68493150693</v>
      </c>
      <c r="U40" s="47">
        <f>SUM(U4:U39)</f>
        <v>36692.30769230769</v>
      </c>
      <c r="V40" s="47">
        <f>SUM(V4:V39)</f>
        <v>38147.10221285562</v>
      </c>
      <c r="W40" s="47">
        <f>SUM(W4:W39)</f>
        <v>74311.04251012144</v>
      </c>
      <c r="X40" s="47">
        <f>SUM(X4:X39)</f>
        <v>203739.67105263151</v>
      </c>
      <c r="Y40" s="17"/>
      <c r="Z40" s="17"/>
      <c r="AA40" s="47">
        <f>SUM(AA4:AA39)</f>
        <v>266301.36986301385</v>
      </c>
      <c r="AB40" s="47">
        <f>SUM(AB4:AB39)</f>
        <v>60428.571428571406</v>
      </c>
      <c r="AC40" s="47">
        <f>SUM(AC4:AC39)</f>
        <v>71182.77886497062</v>
      </c>
      <c r="AD40" s="47">
        <f>SUM(AD4:AD39)</f>
        <v>122382.87593984966</v>
      </c>
      <c r="AE40" s="47">
        <f>SUM(AE4:AE39)</f>
        <v>335538.9191729323</v>
      </c>
      <c r="AF40" s="17"/>
      <c r="AG40" s="17"/>
      <c r="AH40" s="17"/>
      <c r="AI40" s="17"/>
      <c r="AJ40" s="17"/>
      <c r="AK40" s="17"/>
      <c r="AM40" s="2"/>
      <c r="AN40" s="2"/>
      <c r="AO40" s="24"/>
      <c r="AP40" s="2"/>
      <c r="AQ40" s="2"/>
    </row>
    <row r="41" spans="2:43" ht="12.75">
      <c r="B41" s="42" t="s">
        <v>130</v>
      </c>
      <c r="C41" s="42"/>
      <c r="D41" s="42"/>
      <c r="E41" s="43"/>
      <c r="F41" s="41">
        <f>F40/K42</f>
        <v>0.10041734305651923</v>
      </c>
      <c r="G41" s="41">
        <f>G40/K42</f>
        <v>0.09031259817441606</v>
      </c>
      <c r="H41" s="41">
        <f>H40/K42</f>
        <v>0.12489003621280959</v>
      </c>
      <c r="I41" s="41">
        <f>I40/K42</f>
        <v>0.18290545741677416</v>
      </c>
      <c r="J41" s="41">
        <f>J40/K42</f>
        <v>0.5014745651394811</v>
      </c>
      <c r="K41" s="44"/>
      <c r="L41" s="44"/>
      <c r="M41" s="41">
        <f>M40/R42</f>
        <v>0.23087126713965636</v>
      </c>
      <c r="N41" s="41">
        <f>N40/R42</f>
        <v>0.08114697500575324</v>
      </c>
      <c r="O41" s="41">
        <f>O40/R42</f>
        <v>0.07305792986819337</v>
      </c>
      <c r="P41" s="41">
        <f>P40/R42</f>
        <v>0.16434279249447345</v>
      </c>
      <c r="Q41" s="41">
        <f>Q40/R42</f>
        <v>0.4505810354919238</v>
      </c>
      <c r="R41" s="44"/>
      <c r="S41" s="44"/>
      <c r="T41" s="41">
        <f>T40/Y42</f>
        <v>0.2739495997671148</v>
      </c>
      <c r="U41" s="41">
        <f>U40/Y42</f>
        <v>0.07549223657400046</v>
      </c>
      <c r="V41" s="41">
        <f>V40/Y42</f>
        <v>0.078485389608493</v>
      </c>
      <c r="W41" s="41">
        <f>W40/Y42</f>
        <v>0.15289054175272748</v>
      </c>
      <c r="X41" s="41">
        <f>X40/Y42</f>
        <v>0.4191822322976642</v>
      </c>
      <c r="Y41" s="44"/>
      <c r="Z41" s="44"/>
      <c r="AA41" s="41">
        <f>AA40/AF42</f>
        <v>0.31115988559915314</v>
      </c>
      <c r="AB41" s="41">
        <f>AB40/AF42</f>
        <v>0.07060777562769135</v>
      </c>
      <c r="AC41" s="41">
        <f>AC40/AF42</f>
        <v>0.08317353132523386</v>
      </c>
      <c r="AD41" s="41">
        <f>AD40/AF42</f>
        <v>0.14299829436223987</v>
      </c>
      <c r="AE41" s="41">
        <f>AE40/AF42</f>
        <v>0.3920605130856817</v>
      </c>
      <c r="AF41" s="44"/>
      <c r="AG41" s="17"/>
      <c r="AH41" s="17"/>
      <c r="AI41" s="17"/>
      <c r="AJ41" s="17"/>
      <c r="AK41" s="17"/>
      <c r="AM41" s="2"/>
      <c r="AN41" s="2"/>
      <c r="AO41" s="24"/>
      <c r="AP41" s="2"/>
      <c r="AQ41" s="2"/>
    </row>
    <row r="42" spans="2:43" ht="12.75">
      <c r="B42" s="35" t="s">
        <v>71</v>
      </c>
      <c r="C42" s="35"/>
      <c r="D42" s="45"/>
      <c r="E42" s="45"/>
      <c r="F42" s="45"/>
      <c r="G42" s="45"/>
      <c r="H42" s="45"/>
      <c r="I42" s="45"/>
      <c r="J42" s="45"/>
      <c r="K42" s="20">
        <f>SUM(K4:K41)</f>
        <v>132597.29930970582</v>
      </c>
      <c r="L42" s="20"/>
      <c r="M42" s="20"/>
      <c r="N42" s="20"/>
      <c r="O42" s="20"/>
      <c r="P42" s="20"/>
      <c r="Q42" s="20"/>
      <c r="R42" s="20">
        <f>SUM(R4:R41)</f>
        <v>288365.6476207642</v>
      </c>
      <c r="S42" s="20"/>
      <c r="T42" s="20"/>
      <c r="U42" s="20"/>
      <c r="V42" s="20"/>
      <c r="W42" s="20"/>
      <c r="X42" s="20"/>
      <c r="Y42" s="20">
        <f>SUM(Y4:Y41)</f>
        <v>486040.8083994232</v>
      </c>
      <c r="Z42" s="20"/>
      <c r="AA42" s="20"/>
      <c r="AB42" s="20"/>
      <c r="AC42" s="20"/>
      <c r="AD42" s="20"/>
      <c r="AE42" s="20"/>
      <c r="AF42" s="20">
        <f>SUM(AF4:AF41)</f>
        <v>855834.5152693379</v>
      </c>
      <c r="AG42" s="30"/>
      <c r="AH42" s="30"/>
      <c r="AI42" s="30"/>
      <c r="AJ42" s="30"/>
      <c r="AK42" s="30"/>
      <c r="AM42" s="2"/>
      <c r="AN42" s="2"/>
      <c r="AO42" s="24"/>
      <c r="AP42" s="24"/>
      <c r="AQ42" s="24"/>
    </row>
    <row r="43" spans="4:43" ht="12.75">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M43" s="2"/>
      <c r="AN43" s="2"/>
      <c r="AO43" s="2"/>
      <c r="AP43" s="2"/>
      <c r="AQ43" s="2"/>
    </row>
    <row r="44" spans="2:43" ht="12.75">
      <c r="B44" s="35" t="s">
        <v>70</v>
      </c>
      <c r="C44" s="35"/>
      <c r="D44" s="45"/>
      <c r="E44" s="45"/>
      <c r="F44" s="45"/>
      <c r="G44" s="45"/>
      <c r="H44" s="45"/>
      <c r="I44" s="45"/>
      <c r="J44" s="45"/>
      <c r="K44" s="20">
        <f>K42/One</f>
        <v>132597.29930970582</v>
      </c>
      <c r="L44" s="20"/>
      <c r="M44" s="20"/>
      <c r="N44" s="20"/>
      <c r="O44" s="20"/>
      <c r="P44" s="20"/>
      <c r="Q44" s="20"/>
      <c r="R44" s="20">
        <f>R42/Five</f>
        <v>57673.12952415284</v>
      </c>
      <c r="S44" s="20"/>
      <c r="T44" s="20"/>
      <c r="U44" s="20"/>
      <c r="V44" s="20"/>
      <c r="W44" s="20"/>
      <c r="X44" s="20"/>
      <c r="Y44" s="20">
        <f>Y42/Ten</f>
        <v>48604.08083994232</v>
      </c>
      <c r="Z44" s="20"/>
      <c r="AA44" s="20"/>
      <c r="AB44" s="20"/>
      <c r="AC44" s="20"/>
      <c r="AD44" s="20"/>
      <c r="AE44" s="20"/>
      <c r="AF44" s="20">
        <f>AF42/Twenty</f>
        <v>42791.72576346689</v>
      </c>
      <c r="AH44" s="30"/>
      <c r="AI44" s="30"/>
      <c r="AJ44" s="30"/>
      <c r="AK44" s="30"/>
      <c r="AM44" s="2"/>
      <c r="AN44" s="2"/>
      <c r="AO44" s="24"/>
      <c r="AP44" s="24"/>
      <c r="AQ44" s="24"/>
    </row>
    <row r="45" spans="2:43" ht="12.75">
      <c r="B45" s="36"/>
      <c r="C45" s="36"/>
      <c r="D45" s="3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M45" s="2"/>
      <c r="AN45" s="2"/>
      <c r="AO45" s="2"/>
      <c r="AP45" s="2"/>
      <c r="AQ45" s="2"/>
    </row>
    <row r="46" spans="2:43" ht="12.75">
      <c r="B46" s="48" t="s">
        <v>111</v>
      </c>
      <c r="C46" s="48"/>
      <c r="D46" s="48"/>
      <c r="E46" s="49"/>
      <c r="F46" s="49"/>
      <c r="G46" s="49"/>
      <c r="H46" s="49"/>
      <c r="I46" s="49"/>
      <c r="J46" s="49"/>
      <c r="K46" s="49">
        <f>K44/1000</f>
        <v>132.59729930970582</v>
      </c>
      <c r="L46" s="49"/>
      <c r="M46" s="49"/>
      <c r="N46" s="49"/>
      <c r="O46" s="49"/>
      <c r="P46" s="49"/>
      <c r="Q46" s="49"/>
      <c r="R46" s="49">
        <f>R44/1000</f>
        <v>57.67312952415284</v>
      </c>
      <c r="S46" s="49"/>
      <c r="T46" s="49"/>
      <c r="U46" s="49"/>
      <c r="V46" s="49"/>
      <c r="W46" s="49"/>
      <c r="X46" s="49"/>
      <c r="Y46" s="49">
        <f>Y44/1000</f>
        <v>48.60408083994232</v>
      </c>
      <c r="Z46" s="49"/>
      <c r="AA46" s="49"/>
      <c r="AB46" s="49"/>
      <c r="AC46" s="49"/>
      <c r="AD46" s="49"/>
      <c r="AE46" s="49"/>
      <c r="AF46" s="49">
        <f>AF44/1000</f>
        <v>42.79172576346689</v>
      </c>
      <c r="AM46" s="2"/>
      <c r="AN46" s="2"/>
      <c r="AO46" s="2"/>
      <c r="AP46" s="2"/>
      <c r="AQ46" s="2"/>
    </row>
    <row r="47" spans="39:43" ht="12.75">
      <c r="AM47" s="2"/>
      <c r="AN47" s="2"/>
      <c r="AO47" s="2"/>
      <c r="AP47" s="2"/>
      <c r="AQ47" s="2"/>
    </row>
    <row r="48" spans="39:43" ht="12.75">
      <c r="AM48" s="2"/>
      <c r="AN48" s="2"/>
      <c r="AO48" s="2"/>
      <c r="AP48" s="2"/>
      <c r="AQ48" s="2"/>
    </row>
    <row r="49" spans="25:43" ht="12.75">
      <c r="Y49" s="32"/>
      <c r="AM49" s="2"/>
      <c r="AN49" s="2"/>
      <c r="AO49" s="2"/>
      <c r="AP49" s="2"/>
      <c r="AQ49" s="2"/>
    </row>
    <row r="50" spans="25:43" ht="12.75">
      <c r="Y50" s="12"/>
      <c r="AM50" s="2"/>
      <c r="AN50" s="2"/>
      <c r="AO50" s="2"/>
      <c r="AP50" s="2"/>
      <c r="AQ50" s="2"/>
    </row>
    <row r="51" spans="39:43" ht="12.75">
      <c r="AM51" s="2"/>
      <c r="AN51" s="2"/>
      <c r="AO51" s="2"/>
      <c r="AP51" s="2"/>
      <c r="AQ51" s="2"/>
    </row>
  </sheetData>
  <printOptions/>
  <pageMargins left="0.75" right="0.75" top="1" bottom="1" header="0.5" footer="0.5"/>
  <pageSetup fitToHeight="1" fitToWidth="1" horizontalDpi="600" verticalDpi="600" orientation="landscape" paperSize="9" scale="51" r:id="rId1"/>
</worksheet>
</file>

<file path=xl/worksheets/sheet3.xml><?xml version="1.0" encoding="utf-8"?>
<worksheet xmlns="http://schemas.openxmlformats.org/spreadsheetml/2006/main" xmlns:r="http://schemas.openxmlformats.org/officeDocument/2006/relationships">
  <dimension ref="A4:N26"/>
  <sheetViews>
    <sheetView workbookViewId="0" topLeftCell="A7">
      <selection activeCell="D13" sqref="D13"/>
    </sheetView>
  </sheetViews>
  <sheetFormatPr defaultColWidth="9.140625" defaultRowHeight="12.75"/>
  <cols>
    <col min="1" max="1" width="20.421875" style="0" customWidth="1"/>
    <col min="3" max="3" width="59.57421875" style="0" customWidth="1"/>
    <col min="6" max="6" width="10.28125" style="0" customWidth="1"/>
    <col min="14" max="14" width="20.00390625" style="0" customWidth="1"/>
  </cols>
  <sheetData>
    <row r="4" ht="12.75">
      <c r="A4" s="6" t="s">
        <v>38</v>
      </c>
    </row>
    <row r="5" spans="2:4" ht="25.5">
      <c r="B5" s="6" t="s">
        <v>39</v>
      </c>
      <c r="C5" s="7" t="s">
        <v>143</v>
      </c>
      <c r="D5">
        <v>0.25</v>
      </c>
    </row>
    <row r="6" spans="1:14" ht="25.5">
      <c r="A6" s="6"/>
      <c r="B6" s="6" t="s">
        <v>162</v>
      </c>
      <c r="C6" s="7" t="s">
        <v>163</v>
      </c>
      <c r="D6">
        <v>0.5</v>
      </c>
      <c r="L6" s="6" t="s">
        <v>120</v>
      </c>
      <c r="M6" s="6" t="s">
        <v>40</v>
      </c>
      <c r="N6" s="6" t="s">
        <v>121</v>
      </c>
    </row>
    <row r="7" spans="2:14" ht="51">
      <c r="B7" s="6" t="s">
        <v>144</v>
      </c>
      <c r="C7" s="7" t="s">
        <v>170</v>
      </c>
      <c r="D7">
        <v>1</v>
      </c>
      <c r="L7" s="6"/>
      <c r="M7" s="6"/>
      <c r="N7" s="6"/>
    </row>
    <row r="8" spans="1:14" ht="12.75">
      <c r="A8" s="6"/>
      <c r="B8" s="6"/>
      <c r="C8" s="7"/>
      <c r="D8" s="6" t="s">
        <v>48</v>
      </c>
      <c r="E8" s="6" t="s">
        <v>44</v>
      </c>
      <c r="F8" s="6" t="s">
        <v>59</v>
      </c>
      <c r="G8" s="6" t="s">
        <v>45</v>
      </c>
      <c r="H8" s="6" t="s">
        <v>47</v>
      </c>
      <c r="I8" s="6" t="s">
        <v>46</v>
      </c>
      <c r="J8" s="6" t="s">
        <v>58</v>
      </c>
      <c r="L8" s="39" t="s">
        <v>48</v>
      </c>
      <c r="M8">
        <v>0.1</v>
      </c>
      <c r="N8" s="39" t="s">
        <v>127</v>
      </c>
    </row>
    <row r="9" spans="1:14" ht="12.75">
      <c r="A9" s="6"/>
      <c r="B9" s="6" t="s">
        <v>40</v>
      </c>
      <c r="C9" s="7" t="s">
        <v>142</v>
      </c>
      <c r="D9">
        <v>0.1</v>
      </c>
      <c r="E9">
        <v>0.2</v>
      </c>
      <c r="F9">
        <v>0.3</v>
      </c>
      <c r="G9">
        <v>0.4</v>
      </c>
      <c r="H9">
        <v>0.6</v>
      </c>
      <c r="I9">
        <v>0.8</v>
      </c>
      <c r="J9">
        <v>1</v>
      </c>
      <c r="L9" s="39" t="s">
        <v>44</v>
      </c>
      <c r="M9">
        <v>0.2</v>
      </c>
      <c r="N9" t="s">
        <v>122</v>
      </c>
    </row>
    <row r="10" spans="1:14" ht="12.75">
      <c r="A10" s="6"/>
      <c r="B10" s="6"/>
      <c r="C10" s="7"/>
      <c r="L10" s="39" t="s">
        <v>59</v>
      </c>
      <c r="M10">
        <v>0.3</v>
      </c>
      <c r="N10" t="s">
        <v>123</v>
      </c>
    </row>
    <row r="11" spans="1:14" ht="12.75">
      <c r="A11" s="6" t="s">
        <v>41</v>
      </c>
      <c r="B11" s="6"/>
      <c r="C11" s="7"/>
      <c r="L11" s="39" t="s">
        <v>45</v>
      </c>
      <c r="M11">
        <v>0.4</v>
      </c>
      <c r="N11" t="s">
        <v>124</v>
      </c>
    </row>
    <row r="12" spans="1:14" ht="12.75">
      <c r="A12" s="6"/>
      <c r="B12" s="6" t="s">
        <v>42</v>
      </c>
      <c r="C12" s="7" t="s">
        <v>140</v>
      </c>
      <c r="D12" s="12">
        <v>0.1</v>
      </c>
      <c r="L12" s="39" t="s">
        <v>47</v>
      </c>
      <c r="M12">
        <v>0.6</v>
      </c>
      <c r="N12" t="s">
        <v>125</v>
      </c>
    </row>
    <row r="13" spans="1:14" ht="25.5">
      <c r="A13" s="6"/>
      <c r="B13" s="6" t="s">
        <v>148</v>
      </c>
      <c r="C13" s="7" t="s">
        <v>150</v>
      </c>
      <c r="D13" s="17">
        <f>45000*7/365</f>
        <v>863.013698630137</v>
      </c>
      <c r="L13" s="39" t="s">
        <v>46</v>
      </c>
      <c r="M13">
        <v>0.8</v>
      </c>
      <c r="N13" t="s">
        <v>126</v>
      </c>
    </row>
    <row r="14" spans="1:12" ht="25.5">
      <c r="A14" s="6"/>
      <c r="B14" s="6" t="s">
        <v>149</v>
      </c>
      <c r="C14" s="7" t="s">
        <v>160</v>
      </c>
      <c r="D14" s="17">
        <f>45000*1/365</f>
        <v>123.28767123287672</v>
      </c>
      <c r="L14" s="39"/>
    </row>
    <row r="15" spans="1:4" ht="25.5">
      <c r="A15" s="6"/>
      <c r="B15" s="6" t="s">
        <v>43</v>
      </c>
      <c r="C15" s="7" t="s">
        <v>159</v>
      </c>
      <c r="D15" s="17">
        <f>45000*3/365</f>
        <v>369.86301369863014</v>
      </c>
    </row>
    <row r="16" spans="1:4" ht="12.75">
      <c r="A16" s="6"/>
      <c r="B16" s="6" t="s">
        <v>139</v>
      </c>
      <c r="C16" s="7" t="s">
        <v>147</v>
      </c>
      <c r="D16">
        <v>12</v>
      </c>
    </row>
    <row r="17" spans="2:4" ht="12.75">
      <c r="B17" s="6" t="s">
        <v>164</v>
      </c>
      <c r="C17" s="7" t="s">
        <v>167</v>
      </c>
      <c r="D17" s="12">
        <v>0.02</v>
      </c>
    </row>
    <row r="18" spans="2:4" ht="12.75">
      <c r="B18" s="6" t="s">
        <v>165</v>
      </c>
      <c r="C18" s="7" t="s">
        <v>166</v>
      </c>
      <c r="D18" s="12">
        <v>340</v>
      </c>
    </row>
    <row r="19" spans="2:4" ht="12.75">
      <c r="B19" s="6" t="s">
        <v>132</v>
      </c>
      <c r="C19" s="7" t="s">
        <v>141</v>
      </c>
      <c r="D19" s="17">
        <v>1000</v>
      </c>
    </row>
    <row r="20" spans="2:4" ht="25.5">
      <c r="B20" s="6" t="s">
        <v>168</v>
      </c>
      <c r="C20" s="7" t="s">
        <v>169</v>
      </c>
      <c r="D20">
        <v>0.1</v>
      </c>
    </row>
    <row r="21" ht="12.75">
      <c r="A21" t="s">
        <v>52</v>
      </c>
    </row>
    <row r="22" spans="2:4" ht="12.75">
      <c r="B22" s="6" t="s">
        <v>53</v>
      </c>
      <c r="C22" s="6"/>
      <c r="D22">
        <v>1</v>
      </c>
    </row>
    <row r="23" spans="2:4" ht="12.75">
      <c r="B23" s="6" t="s">
        <v>54</v>
      </c>
      <c r="C23" s="6"/>
      <c r="D23">
        <v>5</v>
      </c>
    </row>
    <row r="24" spans="2:4" ht="12.75">
      <c r="B24" s="6" t="s">
        <v>55</v>
      </c>
      <c r="C24" s="6"/>
      <c r="D24">
        <v>10</v>
      </c>
    </row>
    <row r="25" spans="2:4" ht="12.75">
      <c r="B25" s="6" t="s">
        <v>56</v>
      </c>
      <c r="C25" s="6"/>
      <c r="D25">
        <v>20</v>
      </c>
    </row>
    <row r="26" spans="2:4" ht="12.75">
      <c r="B26" s="6" t="s">
        <v>57</v>
      </c>
      <c r="C26" s="6"/>
      <c r="D26">
        <v>100</v>
      </c>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7"/>
  <sheetViews>
    <sheetView workbookViewId="0" topLeftCell="A1">
      <selection activeCell="E26" sqref="E26"/>
    </sheetView>
  </sheetViews>
  <sheetFormatPr defaultColWidth="9.140625" defaultRowHeight="12.75"/>
  <cols>
    <col min="1" max="1" width="26.28125" style="0" customWidth="1"/>
    <col min="4" max="4" width="18.421875" style="0" customWidth="1"/>
    <col min="5" max="5" width="21.8515625" style="0" customWidth="1"/>
  </cols>
  <sheetData>
    <row r="1" ht="12.75">
      <c r="A1" s="6" t="s">
        <v>155</v>
      </c>
    </row>
    <row r="2" ht="12.75">
      <c r="A2" t="s">
        <v>156</v>
      </c>
    </row>
    <row r="5" spans="1:5" ht="12.75">
      <c r="A5" t="s">
        <v>154</v>
      </c>
      <c r="B5" t="s">
        <v>164</v>
      </c>
      <c r="C5" t="s">
        <v>165</v>
      </c>
      <c r="D5" t="s">
        <v>157</v>
      </c>
      <c r="E5" t="s">
        <v>158</v>
      </c>
    </row>
    <row r="6" spans="1:5" ht="12.75">
      <c r="A6" s="55">
        <v>1</v>
      </c>
      <c r="B6">
        <f aca="true" t="shared" si="0" ref="B6:B17">HVM</f>
        <v>0.02</v>
      </c>
      <c r="C6">
        <f aca="true" t="shared" si="1" ref="C6:C17">LVM</f>
        <v>340</v>
      </c>
      <c r="D6" s="12">
        <f aca="true" t="shared" si="2" ref="D6:D17">(LVM/A6+HVM)*A6</f>
        <v>340.02</v>
      </c>
      <c r="E6" s="12">
        <f>D6/A6</f>
        <v>340.02</v>
      </c>
    </row>
    <row r="7" spans="1:5" ht="12.75">
      <c r="A7" s="55">
        <v>10</v>
      </c>
      <c r="B7">
        <f t="shared" si="0"/>
        <v>0.02</v>
      </c>
      <c r="C7">
        <f t="shared" si="1"/>
        <v>340</v>
      </c>
      <c r="D7" s="12">
        <f t="shared" si="2"/>
        <v>340.20000000000005</v>
      </c>
      <c r="E7" s="12">
        <f aca="true" t="shared" si="3" ref="E7:E17">D7/A7</f>
        <v>34.02</v>
      </c>
    </row>
    <row r="8" spans="1:5" ht="12.75">
      <c r="A8" s="55">
        <v>100</v>
      </c>
      <c r="B8">
        <f t="shared" si="0"/>
        <v>0.02</v>
      </c>
      <c r="C8">
        <f t="shared" si="1"/>
        <v>340</v>
      </c>
      <c r="D8" s="12">
        <f t="shared" si="2"/>
        <v>342</v>
      </c>
      <c r="E8" s="12">
        <f t="shared" si="3"/>
        <v>3.42</v>
      </c>
    </row>
    <row r="9" spans="1:5" ht="12.75">
      <c r="A9" s="55">
        <v>500</v>
      </c>
      <c r="B9">
        <f t="shared" si="0"/>
        <v>0.02</v>
      </c>
      <c r="C9">
        <f t="shared" si="1"/>
        <v>340</v>
      </c>
      <c r="D9" s="12">
        <f t="shared" si="2"/>
        <v>350.00000000000006</v>
      </c>
      <c r="E9" s="12">
        <f t="shared" si="3"/>
        <v>0.7000000000000001</v>
      </c>
    </row>
    <row r="10" spans="1:5" ht="12.75">
      <c r="A10" s="55">
        <v>1000</v>
      </c>
      <c r="B10">
        <f t="shared" si="0"/>
        <v>0.02</v>
      </c>
      <c r="C10">
        <f t="shared" si="1"/>
        <v>340</v>
      </c>
      <c r="D10" s="12">
        <f t="shared" si="2"/>
        <v>360.00000000000006</v>
      </c>
      <c r="E10" s="12">
        <f t="shared" si="3"/>
        <v>0.36000000000000004</v>
      </c>
    </row>
    <row r="11" spans="1:5" ht="12.75">
      <c r="A11" s="55">
        <v>2000</v>
      </c>
      <c r="B11">
        <f t="shared" si="0"/>
        <v>0.02</v>
      </c>
      <c r="C11">
        <f t="shared" si="1"/>
        <v>340</v>
      </c>
      <c r="D11" s="12">
        <f t="shared" si="2"/>
        <v>380</v>
      </c>
      <c r="E11" s="12">
        <f t="shared" si="3"/>
        <v>0.19</v>
      </c>
    </row>
    <row r="12" spans="1:5" ht="12.75">
      <c r="A12" s="55">
        <v>5000</v>
      </c>
      <c r="B12">
        <f t="shared" si="0"/>
        <v>0.02</v>
      </c>
      <c r="C12">
        <f t="shared" si="1"/>
        <v>340</v>
      </c>
      <c r="D12" s="12">
        <f t="shared" si="2"/>
        <v>440.00000000000006</v>
      </c>
      <c r="E12" s="12">
        <f t="shared" si="3"/>
        <v>0.08800000000000001</v>
      </c>
    </row>
    <row r="13" spans="1:5" ht="12.75">
      <c r="A13" s="55">
        <v>10000</v>
      </c>
      <c r="B13">
        <f t="shared" si="0"/>
        <v>0.02</v>
      </c>
      <c r="C13">
        <f t="shared" si="1"/>
        <v>340</v>
      </c>
      <c r="D13" s="12">
        <f t="shared" si="2"/>
        <v>540.0000000000001</v>
      </c>
      <c r="E13" s="12">
        <f t="shared" si="3"/>
        <v>0.05400000000000001</v>
      </c>
    </row>
    <row r="14" spans="1:5" ht="12.75">
      <c r="A14" s="55">
        <v>100000</v>
      </c>
      <c r="B14">
        <f t="shared" si="0"/>
        <v>0.02</v>
      </c>
      <c r="C14">
        <f t="shared" si="1"/>
        <v>340</v>
      </c>
      <c r="D14" s="12">
        <f t="shared" si="2"/>
        <v>2340</v>
      </c>
      <c r="E14" s="12">
        <f t="shared" si="3"/>
        <v>0.0234</v>
      </c>
    </row>
    <row r="15" spans="1:5" ht="12.75">
      <c r="A15" s="55">
        <v>500000</v>
      </c>
      <c r="B15">
        <f t="shared" si="0"/>
        <v>0.02</v>
      </c>
      <c r="C15">
        <f t="shared" si="1"/>
        <v>340</v>
      </c>
      <c r="D15" s="12">
        <f t="shared" si="2"/>
        <v>10340</v>
      </c>
      <c r="E15" s="12">
        <f t="shared" si="3"/>
        <v>0.02068</v>
      </c>
    </row>
    <row r="16" spans="1:5" ht="12.75">
      <c r="A16" s="55">
        <v>1000000</v>
      </c>
      <c r="B16">
        <f t="shared" si="0"/>
        <v>0.02</v>
      </c>
      <c r="C16">
        <f t="shared" si="1"/>
        <v>340</v>
      </c>
      <c r="D16" s="12">
        <f t="shared" si="2"/>
        <v>20340</v>
      </c>
      <c r="E16" s="12">
        <f t="shared" si="3"/>
        <v>0.02034</v>
      </c>
    </row>
    <row r="17" spans="1:5" ht="12.75">
      <c r="A17" s="55">
        <v>5000000</v>
      </c>
      <c r="B17">
        <f t="shared" si="0"/>
        <v>0.02</v>
      </c>
      <c r="C17">
        <f t="shared" si="1"/>
        <v>340</v>
      </c>
      <c r="D17" s="12">
        <f t="shared" si="2"/>
        <v>100340</v>
      </c>
      <c r="E17" s="12">
        <f t="shared" si="3"/>
        <v>0.020068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British Library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LIFE Generic Preservation Model v1.4</dc:title>
  <dc:subject/>
  <dc:creator>P. Wheatley, P. Bright, R. McLeod</dc:creator>
  <cp:keywords/>
  <dc:description/>
  <cp:lastModifiedBy>EPrints Asst</cp:lastModifiedBy>
  <cp:lastPrinted>2008-06-11T14:38:20Z</cp:lastPrinted>
  <dcterms:created xsi:type="dcterms:W3CDTF">2006-02-01T14:24:54Z</dcterms:created>
  <dcterms:modified xsi:type="dcterms:W3CDTF">2009-02-17T11:21:04Z</dcterms:modified>
  <cp:category/>
  <cp:version/>
  <cp:contentType/>
  <cp:contentStatus/>
</cp:coreProperties>
</file>