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worksheets/sheet19.xml" ContentType="application/vnd.openxmlformats-officedocument.spreadsheetml.worksheet+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5" yWindow="0" windowWidth="19110" windowHeight="8175" tabRatio="960" activeTab="2"/>
  </bookViews>
  <sheets>
    <sheet name="Front1" sheetId="20" r:id="rId1"/>
    <sheet name="Front2" sheetId="23" r:id="rId2"/>
    <sheet name="Front3" sheetId="24" r:id="rId3"/>
    <sheet name="I1" sheetId="25" r:id="rId4"/>
    <sheet name="I2" sheetId="45" r:id="rId5"/>
    <sheet name="I3" sheetId="46" r:id="rId6"/>
    <sheet name="I4" sheetId="47" r:id="rId7"/>
    <sheet name="Iaux" sheetId="65" state="hidden" r:id="rId8"/>
    <sheet name="PTA" sheetId="60" r:id="rId9"/>
    <sheet name="PTAin" sheetId="53" r:id="rId10"/>
    <sheet name="PTAout" sheetId="52" r:id="rId11"/>
    <sheet name="CBA" sheetId="61" r:id="rId12"/>
    <sheet name="CBAin" sheetId="55" r:id="rId13"/>
    <sheet name="CBAout" sheetId="64" r:id="rId14"/>
    <sheet name="CBAaux" sheetId="66" state="hidden" r:id="rId15"/>
    <sheet name="MCA" sheetId="62" r:id="rId16"/>
    <sheet name="MCAin" sheetId="58" r:id="rId17"/>
    <sheet name="MCAout" sheetId="59" r:id="rId18"/>
    <sheet name="MCAaux" sheetId="76" state="hidden" r:id="rId19"/>
  </sheets>
  <definedNames>
    <definedName name="assessor1">MCAaux!$V$159:$AA$175</definedName>
    <definedName name="assessor2">MCAaux!$AB$159:$AG$175</definedName>
    <definedName name="assessor3">MCAaux!$AH$159:$AM$175</definedName>
    <definedName name="assessor4">MCAaux!$AN$159:$AS$175</definedName>
    <definedName name="assessor5">MCAaux!$AT$159:$AY$175</definedName>
    <definedName name="assessor6">MCAaux!$AZ$159:$BE$175</definedName>
    <definedName name="assessor7">MCAaux!$BF$159:$BK$175</definedName>
    <definedName name="assessor8">MCAaux!$BL$159:$BQ$175</definedName>
    <definedName name="car_occupancy">CBAaux!$B$130</definedName>
    <definedName name="cities">Iaux!$A$104:$A$108</definedName>
    <definedName name="cities_data">Iaux!$A$104:$D$108</definedName>
    <definedName name="city">'I1'!$F$24</definedName>
    <definedName name="code0">'I1'!$F$35</definedName>
    <definedName name="code1">'I1'!$H$35</definedName>
    <definedName name="code2">'I1'!$J$35</definedName>
    <definedName name="code3">'I1'!$L$35</definedName>
    <definedName name="code4">'I1'!$N$35</definedName>
    <definedName name="code5">'I1'!$P$35</definedName>
    <definedName name="comsev_table">Iaux!$A$113:$G$217</definedName>
    <definedName name="comsev_values">Iaux!$A$237:$G$243</definedName>
    <definedName name="comsev0">Iaux!$B$234</definedName>
    <definedName name="comsev1">Iaux!$C$234</definedName>
    <definedName name="comsev2">Iaux!$D$234</definedName>
    <definedName name="comsev3">Iaux!$E$234</definedName>
    <definedName name="comsev4">Iaux!$F$234</definedName>
    <definedName name="comsev5">Iaux!$G$234</definedName>
    <definedName name="country">'I1'!$F$25</definedName>
    <definedName name="currency">'I1'!$F$26</definedName>
    <definedName name="cycle0">'I1'!$F$67</definedName>
    <definedName name="cycle1">'I1'!$H$67</definedName>
    <definedName name="cycle2">'I1'!$J$67</definedName>
    <definedName name="cycle3">'I1'!$L$67</definedName>
    <definedName name="cycle4">'I1'!$N$67</definedName>
    <definedName name="cycle5">'I1'!$P$67</definedName>
    <definedName name="cyclewidth0">PTAout!$H$54</definedName>
    <definedName name="cyclewidth1">PTAout!$L$54</definedName>
    <definedName name="cyclewidth2">PTAout!$Q$54</definedName>
    <definedName name="cyclewidth3">PTAout!$V$54</definedName>
    <definedName name="cyclewidth4">PTAout!$AA$54</definedName>
    <definedName name="cyclewidth5">PTAout!$AF$54</definedName>
    <definedName name="disab_cross0">'I1'!$F$79</definedName>
    <definedName name="disab_cross1">'I1'!$H$79</definedName>
    <definedName name="disab_cross2">'I1'!$J$79</definedName>
    <definedName name="disab_cross3">'I1'!$L$79</definedName>
    <definedName name="disab_cross4">'I1'!$N$79</definedName>
    <definedName name="disab_cross5">'I1'!$P$79</definedName>
    <definedName name="disab_pav0">'I1'!$F$78</definedName>
    <definedName name="disab_pav1">'I1'!$H$78</definedName>
    <definedName name="disab_pav2">'I1'!$J$78</definedName>
    <definedName name="disab_pav3">'I1'!$L$78</definedName>
    <definedName name="disab_pav4">'I1'!$N$78</definedName>
    <definedName name="disab_pav5">'I1'!$P$78</definedName>
    <definedName name="euro_to_pound">CBAaux!$B$134</definedName>
    <definedName name="euro_to_sek">CBAaux!$B$139</definedName>
    <definedName name="green0">'I1'!$F$46</definedName>
    <definedName name="green1">'I1'!$H$46</definedName>
    <definedName name="green2">'I1'!$J$46</definedName>
    <definedName name="green3">'I1'!$L$46</definedName>
    <definedName name="green4">'I1'!$N$46</definedName>
    <definedName name="green5">'I1'!$P$46</definedName>
    <definedName name="huf_to_pound">CBAaux!$B$136</definedName>
    <definedName name="huf_to_sek">CBAaux!$B$140</definedName>
    <definedName name="length">'I1'!$F$23</definedName>
    <definedName name="list_CBA_cong_car">CBAaux!$C$16</definedName>
    <definedName name="list_CBA_damage">CBAaux!$C$43</definedName>
    <definedName name="list_CBA_delays_bus">CBAaux!$C$21</definedName>
    <definedName name="list_CBA_delays_car">CBAaux!$C$20</definedName>
    <definedName name="list_CBA_delays_cycle">CBAaux!$C$19</definedName>
    <definedName name="list_CBA_delays_gv">CBAaux!$C$22</definedName>
    <definedName name="list_CBA_delays_peds">CBAaux!$C$18</definedName>
    <definedName name="list_CBA_design_cycle_lane">CBAaux!$C$28:$C$29</definedName>
    <definedName name="list_CBA_design_cycle_sharedbus">CBAaux!$C$31</definedName>
    <definedName name="list_CBA_design_cycle_track">CBAaux!$C$26:$C$27</definedName>
    <definedName name="list_CBA_design_cycle_wide">CBAaux!$C$30</definedName>
    <definedName name="list_CBA_fatality">CBAaux!$C$37:$C$38</definedName>
    <definedName name="list_CBA_no2">CBAaux!$C$47</definedName>
    <definedName name="list_CBA_noise">CBAaux!$C$52:$C$53</definedName>
    <definedName name="list_CBA_park_cycle">CBAaux!$C$33</definedName>
    <definedName name="list_CBA_pm10">CBAaux!$C$50</definedName>
    <definedName name="list_CBA_pm2">CBAaux!$C$48:$C$49</definedName>
    <definedName name="list_CBA_reliab_car">CBAaux!$C$24</definedName>
    <definedName name="list_CBA_serious">CBAaux!$C$39:$C$40</definedName>
    <definedName name="list_CBA_severance">CBAaux!$C$44</definedName>
    <definedName name="list_CBA_slight">CBAaux!$C$41:$C$42</definedName>
    <definedName name="list_CBA_vot_bus">CBAaux!$C$8:$C$9</definedName>
    <definedName name="list_CBA_vot_car">CBAaux!$C$10:$C$11</definedName>
    <definedName name="list_CBA_vot_cyclists">CBAaux!$C$6:$C$7</definedName>
    <definedName name="list_CBA_vot_gv">CBAaux!$C$13:$C$14</definedName>
    <definedName name="list_CBA_vot_moto">CBAaux!$C$12</definedName>
    <definedName name="list_CBA_vot_peds">CBAaux!$C$4:$C$5</definedName>
    <definedName name="list1_cycle">Iaux!$A$5:$A$7</definedName>
    <definedName name="list1_micro">Iaux!$B$5:$B$10</definedName>
    <definedName name="list2_delay">Iaux!$D$15:$D$25</definedName>
    <definedName name="list2_reliability">Iaux!$E$15:$E$25</definedName>
    <definedName name="list2_speed">Iaux!$B$15:$B$25</definedName>
    <definedName name="list2_traveltime">Iaux!$C$15:$C$25</definedName>
    <definedName name="list2_tripquality">Iaux!$F$15:$F$25</definedName>
    <definedName name="list2_volume">Iaux!$A$15:$A$25</definedName>
    <definedName name="list3_person_duration">Iaux!$E$30:$E$39</definedName>
    <definedName name="list3_person_number">Iaux!$D$30:$D$39</definedName>
    <definedName name="list3_person_quality">Iaux!$F$30:$F$39</definedName>
    <definedName name="list3_vehicle_duration">Iaux!$B$30:$B$39</definedName>
    <definedName name="list3_vehicle_number">Iaux!$A$30:$A$39</definedName>
    <definedName name="list3_vehicle_quality">Iaux!$C$30:$C$39</definedName>
    <definedName name="list4_climate">Iaux!$G$71:$G$80</definedName>
    <definedName name="list4_co2">Iaux!$I$71:$I$80</definedName>
    <definedName name="list4_damage">Iaux!$E$57:$E$66</definedName>
    <definedName name="list4_energy">Iaux!$H$71:$H$80</definedName>
    <definedName name="list4_expenditure">Iaux!$A$57:$A$66</definedName>
    <definedName name="list4_fatalities">Iaux!$B$57:$B$66</definedName>
    <definedName name="list4_green">Iaux!$A$71:$A$80</definedName>
    <definedName name="list4_inclusion">Iaux!$J$57:$J$66</definedName>
    <definedName name="list4_interaction">Iaux!$I$57:$I$66</definedName>
    <definedName name="list4_no2">Iaux!$D$71:$D$80</definedName>
    <definedName name="list4_noise">Iaux!$E$71:$E$80</definedName>
    <definedName name="list4_physicalactivity">Iaux!$H$57:$H$66</definedName>
    <definedName name="list4_pm10">Iaux!$B$71:$B$80</definedName>
    <definedName name="list4_pm2">Iaux!$C$71:$C$80</definedName>
    <definedName name="list4_propertyvalues">Iaux!$B$43:$B$52</definedName>
    <definedName name="list4_security">Iaux!$G$57:$G$66</definedName>
    <definedName name="list4_serious">Iaux!$C$57:$C$66</definedName>
    <definedName name="list4_severance">Iaux!$F$57:$F$66</definedName>
    <definedName name="list4_slight">Iaux!$D$57:$D$66</definedName>
    <definedName name="list4_soilwater">Iaux!$F$71:$F$80</definedName>
    <definedName name="list4_transportcosts">Iaux!$A$43:$A$52</definedName>
    <definedName name="list4_visitsbusinesses">Iaux!$C$43:$C$52</definedName>
    <definedName name="list4_wellbeing">Iaux!$K$57:$K$66</definedName>
    <definedName name="MCAimportance">Iaux!$B$84:$B$86</definedName>
    <definedName name="moneydata_cong_car">CBAaux!$C$16:$O$16</definedName>
    <definedName name="moneydata_damage">CBAaux!$C$43:$O$43</definedName>
    <definedName name="moneydata_delays_bus">CBAaux!$C$21:$O$21</definedName>
    <definedName name="moneydata_delays_car">CBAaux!$C$20:$O$20</definedName>
    <definedName name="moneydata_delays_cycle">CBAaux!$C$19:$O$19</definedName>
    <definedName name="moneydata_delays_gv">CBAaux!$C$22:$O$22</definedName>
    <definedName name="moneydata_delays_peds">CBAaux!$C$18:$O$18</definedName>
    <definedName name="moneydata_design_cycle_lane">CBAaux!$C$28:$O$30</definedName>
    <definedName name="moneydata_design_cycle_sharedbus">CBAaux!$C$31:$O$31</definedName>
    <definedName name="moneydata_design_cycle_track">CBAaux!$C$26:$O$27</definedName>
    <definedName name="moneydata_design_cycle_wide">CBAaux!$C$30:$O$30</definedName>
    <definedName name="moneydata_fatality">CBAaux!$C$37:$O$38</definedName>
    <definedName name="moneydata_no2">CBAaux!$C$47:$O$47</definedName>
    <definedName name="moneydata_noise">CBAaux!$C$52:$H$53</definedName>
    <definedName name="moneydata_noise_england">CBAaux!$H$55:$O$90</definedName>
    <definedName name="moneydata_noise_sweden">CBAaux!$H$93:$O$128</definedName>
    <definedName name="moneydata_park_cycle">CBAaux!$C$33:$O$33</definedName>
    <definedName name="moneydata_pm10">CBAaux!$C$50:$O$50</definedName>
    <definedName name="moneydata_pm2">CBAaux!$C$48:$O$49</definedName>
    <definedName name="moneydata_reliab_car">CBAaux!$C$24:$O$24</definedName>
    <definedName name="moneydata_safety">CBAaux!$C$37:$O$37</definedName>
    <definedName name="moneydata_serious">CBAaux!$C$39:$O$40</definedName>
    <definedName name="moneydata_severance">CBAaux!$C$44:$O$44</definedName>
    <definedName name="moneydata_slight">CBAaux!$C$41:$O$42</definedName>
    <definedName name="moneydata_vot_bus">CBAaux!$C$8:$O$9</definedName>
    <definedName name="moneydata_vot_car">CBAaux!$C$10:$O$11</definedName>
    <definedName name="moneydata_vot_cycle">CBAaux!$C$6:$O$7</definedName>
    <definedName name="moneydata_vot_gv">CBAaux!$C$13:$O$14</definedName>
    <definedName name="moneydata_vot_moto">CBAaux!$C$12:$O$12</definedName>
    <definedName name="moneydata_vot_peds">CBAaux!$C$4:$O$5</definedName>
    <definedName name="name0">'I1'!$F$36</definedName>
    <definedName name="name1">'I1'!$H$36</definedName>
    <definedName name="name2">'I1'!$J$36</definedName>
    <definedName name="name3">'I1'!$L$36</definedName>
    <definedName name="name4">'I1'!$N$36</definedName>
    <definedName name="name5">'I1'!$P$36</definedName>
    <definedName name="p_air">PTAin!$L$40</definedName>
    <definedName name="p_bus_move">PTAin!$G$31</definedName>
    <definedName name="p_bus_stop">PTAin!$G$32</definedName>
    <definedName name="p_buspax_move">PTAin!$G$33</definedName>
    <definedName name="p_car_move">PTAin!$G$36</definedName>
    <definedName name="p_car_park">PTAin!$G$37</definedName>
    <definedName name="p_car_share">PTAin!$G$39</definedName>
    <definedName name="p_car_stop">PTAin!$G$38</definedName>
    <definedName name="p_climate">PTAin!$L$43</definedName>
    <definedName name="p_comsev">PTAin!$L$33</definedName>
    <definedName name="p_congestion">PTAin!$L$22</definedName>
    <definedName name="p_cycle_dock">PTAin!$G$28</definedName>
    <definedName name="p_cycle_dockless">PTAin!$G$29</definedName>
    <definedName name="p_cycle_move">PTAin!$G$26</definedName>
    <definedName name="p_cycle_park">PTAin!$G$27</definedName>
    <definedName name="p_energy">PTAin!$L$44</definedName>
    <definedName name="p_global">PTAin!$L$45</definedName>
    <definedName name="p_green">PTAin!$L$39</definedName>
    <definedName name="p_gv_move">PTAin!$G$43</definedName>
    <definedName name="p_gv_stop">PTAin!$G$44</definedName>
    <definedName name="p_inclusion">PTAin!$L$37</definedName>
    <definedName name="p_interaction">PTAin!$L$36</definedName>
    <definedName name="p_localeconomy">PTAin!$L$31</definedName>
    <definedName name="p_micro">PTAin!$G$30</definedName>
    <definedName name="p_moto">PTAin!$G$40</definedName>
    <definedName name="p_noise">PTAin!$L$41</definedName>
    <definedName name="p_parkload">PTAin!$L$26</definedName>
    <definedName name="p_peds_cafe">PTAin!$G$23</definedName>
    <definedName name="p_peds_cross">PTAin!$G$20</definedName>
    <definedName name="p_peds_sit">PTAin!$G$22</definedName>
    <definedName name="p_peds_stroll">PTAin!$G$21</definedName>
    <definedName name="p_peds_walk">PTAin!$G$19</definedName>
    <definedName name="p_pedsrm_cross">PTAin!$G$25</definedName>
    <definedName name="p_pedsrm_walk">PTAin!$G$24</definedName>
    <definedName name="p_physicalactivity">PTAin!$L$35</definedName>
    <definedName name="p_place">PTAin!$L$25</definedName>
    <definedName name="p_reliability">PTAin!$L$21</definedName>
    <definedName name="p_safety">PTAin!$L$32</definedName>
    <definedName name="p_security">PTAin!$L$34</definedName>
    <definedName name="p_soilwater">PTAin!$L$42</definedName>
    <definedName name="p_transportcosts">PTAin!$L$30</definedName>
    <definedName name="p_traveltime">PTAin!$L$20</definedName>
    <definedName name="p_tripquality">PTAin!$L$23</definedName>
    <definedName name="p_trips">PTAin!$L$19</definedName>
    <definedName name="p_wellbeing">PTAin!$L$38</definedName>
    <definedName name="peds0">'I2'!$G$29</definedName>
    <definedName name="peds1">'I2'!$N$29</definedName>
    <definedName name="peds2">'I2'!$U$29</definedName>
    <definedName name="peds3">'I2'!$AB$29</definedName>
    <definedName name="peds4">'I2'!$AI$29</definedName>
    <definedName name="peds5">'I2'!$AP$29</definedName>
    <definedName name="pop">'I1'!$F$27</definedName>
    <definedName name="pound_to_sek">CBAaux!$B$138</definedName>
    <definedName name="ppl_per_household">CBAaux!$B$131</definedName>
    <definedName name="priorities_pol">Iaux!$A$84:$A$86</definedName>
    <definedName name="ron_to_pound">CBAaux!$B$137</definedName>
    <definedName name="ron_to_sek">CBAaux!$B$141</definedName>
    <definedName name="scores1">MCAaux!$V$175:$AA$175</definedName>
    <definedName name="scores2">MCAaux!$AB$175:$AG$175</definedName>
    <definedName name="scores3">MCAaux!$AH$175:$AM$175</definedName>
    <definedName name="scores4">MCAaux!$AN$175:$AS$175</definedName>
    <definedName name="scores5">MCAaux!$AT$175:$AY$175</definedName>
    <definedName name="scores6">MCAaux!$AZ$175:$BE$175</definedName>
    <definedName name="scores7">MCAaux!$BF$175:$BK$175</definedName>
    <definedName name="scores8">MCAaux!$BL$175:$BQ$175</definedName>
    <definedName name="segment">'I1'!$F$22</definedName>
    <definedName name="sek_to_pound">CBAaux!$B$135</definedName>
    <definedName name="shops">'I1'!$F$28</definedName>
    <definedName name="standard_bus">Iaux!$B$92</definedName>
    <definedName name="standard_busstop">Iaux!$B$94</definedName>
    <definedName name="standard_car">Iaux!$B$91</definedName>
    <definedName name="standard_carparkstop">Iaux!$B$93</definedName>
    <definedName name="standard_cycle">Iaux!$B$90</definedName>
    <definedName name="standard_load">Iaux!$B$95</definedName>
    <definedName name="standard_no2">Iaux!$B$99</definedName>
    <definedName name="standard_noise">Iaux!$B$100</definedName>
    <definedName name="standard_ped">Iaux!$B$89</definedName>
    <definedName name="standard_place">Iaux!$B$96</definedName>
    <definedName name="standard_pm10">Iaux!$B$97</definedName>
    <definedName name="standard_pm2">Iaux!$B$98</definedName>
    <definedName name="years">'I1'!$F$29</definedName>
  </definedNames>
  <calcPr calcId="125725"/>
</workbook>
</file>

<file path=xl/calcChain.xml><?xml version="1.0" encoding="utf-8"?>
<calcChain xmlns="http://schemas.openxmlformats.org/spreadsheetml/2006/main">
  <c r="Q70" i="55"/>
  <c r="Q45"/>
  <c r="Q46"/>
  <c r="Q47"/>
  <c r="Q48"/>
  <c r="Q49"/>
  <c r="Q50"/>
  <c r="Q51"/>
  <c r="G15" i="59"/>
  <c r="F41" i="52" l="1"/>
  <c r="F42"/>
  <c r="F26" i="25"/>
  <c r="G16" i="64" s="1"/>
  <c r="F25" i="25"/>
  <c r="H37" i="64" l="1"/>
  <c r="H36"/>
  <c r="G37"/>
  <c r="G36"/>
  <c r="F37"/>
  <c r="F36"/>
  <c r="U170"/>
  <c r="O37"/>
  <c r="N37"/>
  <c r="M37"/>
  <c r="L37"/>
  <c r="K37"/>
  <c r="J37"/>
  <c r="G26"/>
  <c r="F26"/>
  <c r="F20"/>
  <c r="G15"/>
  <c r="H15" s="1"/>
  <c r="AF179" i="52"/>
  <c r="AA179"/>
  <c r="V179"/>
  <c r="Q179"/>
  <c r="L179"/>
  <c r="AF190"/>
  <c r="AA190"/>
  <c r="V190"/>
  <c r="Q190"/>
  <c r="L190"/>
  <c r="H190"/>
  <c r="AF189"/>
  <c r="AA189"/>
  <c r="V189"/>
  <c r="Q189"/>
  <c r="L189"/>
  <c r="H189"/>
  <c r="AF188"/>
  <c r="AA188"/>
  <c r="V188"/>
  <c r="Q188"/>
  <c r="L188"/>
  <c r="H188"/>
  <c r="AF187"/>
  <c r="AA187"/>
  <c r="V187"/>
  <c r="Q187"/>
  <c r="L187"/>
  <c r="H187"/>
  <c r="AF186"/>
  <c r="AA186"/>
  <c r="V186"/>
  <c r="Q186"/>
  <c r="L186"/>
  <c r="H186"/>
  <c r="AF185"/>
  <c r="AA185"/>
  <c r="V185"/>
  <c r="Q185"/>
  <c r="L185"/>
  <c r="H185"/>
  <c r="AF184"/>
  <c r="AA184"/>
  <c r="V184"/>
  <c r="Q184"/>
  <c r="L184"/>
  <c r="H184"/>
  <c r="F184"/>
  <c r="AF183"/>
  <c r="AA183"/>
  <c r="V183"/>
  <c r="Q183"/>
  <c r="L183"/>
  <c r="H183"/>
  <c r="K183" s="1"/>
  <c r="H182"/>
  <c r="AF180"/>
  <c r="AA180"/>
  <c r="V180"/>
  <c r="Q180"/>
  <c r="L180"/>
  <c r="H180"/>
  <c r="H179"/>
  <c r="AF178"/>
  <c r="AA178"/>
  <c r="V178"/>
  <c r="Q178"/>
  <c r="L178"/>
  <c r="H178"/>
  <c r="AF177"/>
  <c r="AA177"/>
  <c r="V177"/>
  <c r="Q177"/>
  <c r="L177"/>
  <c r="H177"/>
  <c r="AF176"/>
  <c r="AA176"/>
  <c r="V176"/>
  <c r="Q176"/>
  <c r="L176"/>
  <c r="H176"/>
  <c r="AF174"/>
  <c r="AA174"/>
  <c r="V174"/>
  <c r="Q174"/>
  <c r="L174"/>
  <c r="H174"/>
  <c r="AF173"/>
  <c r="AA173"/>
  <c r="V173"/>
  <c r="Q173"/>
  <c r="L173"/>
  <c r="H173"/>
  <c r="AF172"/>
  <c r="AA172"/>
  <c r="V172"/>
  <c r="Q172"/>
  <c r="L172"/>
  <c r="H172"/>
  <c r="AF171"/>
  <c r="AA171"/>
  <c r="V171"/>
  <c r="Q171"/>
  <c r="L171"/>
  <c r="H171"/>
  <c r="F171"/>
  <c r="AF169"/>
  <c r="AA169"/>
  <c r="V169"/>
  <c r="Q169"/>
  <c r="L169"/>
  <c r="H169"/>
  <c r="AF168"/>
  <c r="AA168"/>
  <c r="V168"/>
  <c r="Q168"/>
  <c r="L168"/>
  <c r="H168"/>
  <c r="AF167"/>
  <c r="AA167"/>
  <c r="V167"/>
  <c r="Q167"/>
  <c r="L167"/>
  <c r="H167"/>
  <c r="AF166"/>
  <c r="AA166"/>
  <c r="V166"/>
  <c r="Q166"/>
  <c r="L166"/>
  <c r="H166"/>
  <c r="H162"/>
  <c r="H161"/>
  <c r="H160"/>
  <c r="H159"/>
  <c r="K159" s="1"/>
  <c r="H157"/>
  <c r="H156"/>
  <c r="H155"/>
  <c r="H154"/>
  <c r="K154" s="1"/>
  <c r="H152"/>
  <c r="H151"/>
  <c r="H150"/>
  <c r="H149"/>
  <c r="H147"/>
  <c r="H146"/>
  <c r="H145"/>
  <c r="H144"/>
  <c r="K144" s="1"/>
  <c r="AF142"/>
  <c r="AA142"/>
  <c r="V142"/>
  <c r="Q142"/>
  <c r="L142"/>
  <c r="H142"/>
  <c r="AF141"/>
  <c r="AA141"/>
  <c r="V141"/>
  <c r="Q141"/>
  <c r="L141"/>
  <c r="H141"/>
  <c r="AF140"/>
  <c r="AA140"/>
  <c r="V140"/>
  <c r="Q140"/>
  <c r="L140"/>
  <c r="H140"/>
  <c r="H139"/>
  <c r="H137"/>
  <c r="H136"/>
  <c r="H135"/>
  <c r="H134"/>
  <c r="H132"/>
  <c r="H131"/>
  <c r="H130"/>
  <c r="AF129"/>
  <c r="AA129"/>
  <c r="V129"/>
  <c r="Q129"/>
  <c r="L129"/>
  <c r="H129"/>
  <c r="H127"/>
  <c r="H126"/>
  <c r="H125"/>
  <c r="AF124"/>
  <c r="AA124"/>
  <c r="AE124" s="1"/>
  <c r="V124"/>
  <c r="Z124" s="1"/>
  <c r="Q124"/>
  <c r="U124" s="1"/>
  <c r="L124"/>
  <c r="P124" s="1"/>
  <c r="H124"/>
  <c r="H122"/>
  <c r="H121"/>
  <c r="H120"/>
  <c r="AF119"/>
  <c r="AJ119" s="1"/>
  <c r="AA119"/>
  <c r="AE119" s="1"/>
  <c r="V119"/>
  <c r="U119"/>
  <c r="Q119"/>
  <c r="L119"/>
  <c r="H119"/>
  <c r="K119" s="1"/>
  <c r="H117"/>
  <c r="H116"/>
  <c r="H115"/>
  <c r="H114"/>
  <c r="H112"/>
  <c r="H111"/>
  <c r="H110"/>
  <c r="H109"/>
  <c r="AF107"/>
  <c r="AA107"/>
  <c r="V107"/>
  <c r="Q107"/>
  <c r="L107"/>
  <c r="O107" s="1"/>
  <c r="H107"/>
  <c r="AF106"/>
  <c r="AA106"/>
  <c r="V106"/>
  <c r="Q106"/>
  <c r="L106"/>
  <c r="H106"/>
  <c r="AF105"/>
  <c r="AA105"/>
  <c r="V105"/>
  <c r="Q105"/>
  <c r="L105"/>
  <c r="H105"/>
  <c r="H104"/>
  <c r="AF100"/>
  <c r="AA100"/>
  <c r="V100"/>
  <c r="Q100"/>
  <c r="L100"/>
  <c r="H100"/>
  <c r="AF99"/>
  <c r="AA99"/>
  <c r="V99"/>
  <c r="Q99"/>
  <c r="L99"/>
  <c r="H99"/>
  <c r="AF98"/>
  <c r="AA98"/>
  <c r="V98"/>
  <c r="Q98"/>
  <c r="L98"/>
  <c r="H98"/>
  <c r="T98" s="1"/>
  <c r="AF97"/>
  <c r="AA97"/>
  <c r="V97"/>
  <c r="Q97"/>
  <c r="L97"/>
  <c r="H97"/>
  <c r="AF96"/>
  <c r="AA96"/>
  <c r="V96"/>
  <c r="Q96"/>
  <c r="L96"/>
  <c r="H96"/>
  <c r="AF95"/>
  <c r="AA95"/>
  <c r="V95"/>
  <c r="Q95"/>
  <c r="L95"/>
  <c r="H95"/>
  <c r="H94"/>
  <c r="AF92"/>
  <c r="AA92"/>
  <c r="V92"/>
  <c r="Q92"/>
  <c r="L92"/>
  <c r="H92"/>
  <c r="AF91"/>
  <c r="AA91"/>
  <c r="V91"/>
  <c r="Q91"/>
  <c r="L91"/>
  <c r="H91"/>
  <c r="AF90"/>
  <c r="AA90"/>
  <c r="V90"/>
  <c r="Q90"/>
  <c r="L90"/>
  <c r="H90"/>
  <c r="AF89"/>
  <c r="AA89"/>
  <c r="V89"/>
  <c r="Q89"/>
  <c r="L89"/>
  <c r="H89"/>
  <c r="AF88"/>
  <c r="AA88"/>
  <c r="V88"/>
  <c r="Q88"/>
  <c r="L88"/>
  <c r="H88"/>
  <c r="AF87"/>
  <c r="AA87"/>
  <c r="V87"/>
  <c r="Q87"/>
  <c r="L87"/>
  <c r="H87"/>
  <c r="H86"/>
  <c r="AF84"/>
  <c r="AA84"/>
  <c r="V84"/>
  <c r="Q84"/>
  <c r="L84"/>
  <c r="H84"/>
  <c r="AF83"/>
  <c r="AA83"/>
  <c r="V83"/>
  <c r="Q83"/>
  <c r="L83"/>
  <c r="H83"/>
  <c r="AF82"/>
  <c r="AA82"/>
  <c r="V82"/>
  <c r="Q82"/>
  <c r="L82"/>
  <c r="H82"/>
  <c r="AF81"/>
  <c r="AA81"/>
  <c r="V81"/>
  <c r="Q81"/>
  <c r="L81"/>
  <c r="H81"/>
  <c r="AF80"/>
  <c r="AA80"/>
  <c r="V80"/>
  <c r="Q80"/>
  <c r="T80" s="1"/>
  <c r="L80"/>
  <c r="H80"/>
  <c r="AF79"/>
  <c r="AA79"/>
  <c r="V79"/>
  <c r="Q79"/>
  <c r="L79"/>
  <c r="H79"/>
  <c r="H78"/>
  <c r="AF76"/>
  <c r="AA76"/>
  <c r="V76"/>
  <c r="Q76"/>
  <c r="L76"/>
  <c r="H76"/>
  <c r="AI76" s="1"/>
  <c r="AF75"/>
  <c r="AA75"/>
  <c r="V75"/>
  <c r="Q75"/>
  <c r="L75"/>
  <c r="H75"/>
  <c r="AF74"/>
  <c r="AA74"/>
  <c r="V74"/>
  <c r="Q74"/>
  <c r="L74"/>
  <c r="H74"/>
  <c r="AF73"/>
  <c r="AA73"/>
  <c r="V73"/>
  <c r="Q73"/>
  <c r="L73"/>
  <c r="H73"/>
  <c r="AF72"/>
  <c r="AA72"/>
  <c r="V72"/>
  <c r="Q72"/>
  <c r="L72"/>
  <c r="H72"/>
  <c r="AF71"/>
  <c r="AA71"/>
  <c r="V71"/>
  <c r="Q71"/>
  <c r="L71"/>
  <c r="H71"/>
  <c r="H70"/>
  <c r="K70" s="1"/>
  <c r="AF68"/>
  <c r="AA68"/>
  <c r="V68"/>
  <c r="Q68"/>
  <c r="L68"/>
  <c r="H68"/>
  <c r="AF67"/>
  <c r="AA67"/>
  <c r="V67"/>
  <c r="Q67"/>
  <c r="L67"/>
  <c r="H67"/>
  <c r="AF66"/>
  <c r="AA66"/>
  <c r="V66"/>
  <c r="Q66"/>
  <c r="L66"/>
  <c r="H66"/>
  <c r="AF65"/>
  <c r="AA65"/>
  <c r="V65"/>
  <c r="Q65"/>
  <c r="L65"/>
  <c r="H65"/>
  <c r="AF64"/>
  <c r="AA64"/>
  <c r="V64"/>
  <c r="Q64"/>
  <c r="L64"/>
  <c r="H64"/>
  <c r="AF63"/>
  <c r="AA63"/>
  <c r="V63"/>
  <c r="Q63"/>
  <c r="L63"/>
  <c r="H63"/>
  <c r="H62"/>
  <c r="K62" s="1"/>
  <c r="AF60"/>
  <c r="AA60"/>
  <c r="V60"/>
  <c r="Q60"/>
  <c r="L60"/>
  <c r="O60" s="1"/>
  <c r="H60"/>
  <c r="AF59"/>
  <c r="AA59"/>
  <c r="V59"/>
  <c r="Q59"/>
  <c r="L59"/>
  <c r="H59"/>
  <c r="AF58"/>
  <c r="AA58"/>
  <c r="V58"/>
  <c r="Q58"/>
  <c r="L58"/>
  <c r="H58"/>
  <c r="AF57"/>
  <c r="AA57"/>
  <c r="V57"/>
  <c r="Q57"/>
  <c r="L57"/>
  <c r="H57"/>
  <c r="AF56"/>
  <c r="AA56"/>
  <c r="V56"/>
  <c r="Q56"/>
  <c r="L56"/>
  <c r="H56"/>
  <c r="AF55"/>
  <c r="AA55"/>
  <c r="V55"/>
  <c r="Q55"/>
  <c r="L55"/>
  <c r="H55"/>
  <c r="H54"/>
  <c r="AF52"/>
  <c r="AA52"/>
  <c r="V52"/>
  <c r="Q52"/>
  <c r="L52"/>
  <c r="H52"/>
  <c r="AF51"/>
  <c r="AA51"/>
  <c r="V51"/>
  <c r="Q51"/>
  <c r="L51"/>
  <c r="H51"/>
  <c r="AF50"/>
  <c r="AA50"/>
  <c r="V50"/>
  <c r="Q50"/>
  <c r="L50"/>
  <c r="H50"/>
  <c r="AF49"/>
  <c r="AA49"/>
  <c r="V49"/>
  <c r="Q49"/>
  <c r="L49"/>
  <c r="H49"/>
  <c r="AF48"/>
  <c r="AA48"/>
  <c r="V48"/>
  <c r="Q48"/>
  <c r="L48"/>
  <c r="H48"/>
  <c r="AF47"/>
  <c r="AA47"/>
  <c r="V47"/>
  <c r="Q47"/>
  <c r="L47"/>
  <c r="H47"/>
  <c r="H46"/>
  <c r="H42"/>
  <c r="H39"/>
  <c r="H38"/>
  <c r="L31"/>
  <c r="G31"/>
  <c r="F31"/>
  <c r="E31"/>
  <c r="E26"/>
  <c r="R10"/>
  <c r="M13"/>
  <c r="M12"/>
  <c r="M11"/>
  <c r="M10"/>
  <c r="R11"/>
  <c r="R12"/>
  <c r="R13"/>
  <c r="I13"/>
  <c r="I12"/>
  <c r="I11"/>
  <c r="I10"/>
  <c r="T60" l="1"/>
  <c r="AD60"/>
  <c r="AI47"/>
  <c r="AI56"/>
  <c r="AI97"/>
  <c r="AD179"/>
  <c r="Z179"/>
  <c r="AI65"/>
  <c r="AD82"/>
  <c r="T179"/>
  <c r="P179"/>
  <c r="O90"/>
  <c r="T107"/>
  <c r="AI171"/>
  <c r="AI64"/>
  <c r="AI68"/>
  <c r="AI50"/>
  <c r="AD74"/>
  <c r="AI185"/>
  <c r="Y74"/>
  <c r="AI75"/>
  <c r="AI88"/>
  <c r="AI92"/>
  <c r="AD98"/>
  <c r="AI87"/>
  <c r="AI129"/>
  <c r="AI166"/>
  <c r="AI66"/>
  <c r="AI71"/>
  <c r="AI96"/>
  <c r="AI107"/>
  <c r="AI141"/>
  <c r="AI172"/>
  <c r="Y98"/>
  <c r="AI140"/>
  <c r="AI190"/>
  <c r="AI48"/>
  <c r="O74"/>
  <c r="AD140"/>
  <c r="AI169"/>
  <c r="AI95"/>
  <c r="AI173"/>
  <c r="AI59"/>
  <c r="AI49"/>
  <c r="AI57"/>
  <c r="O82"/>
  <c r="AI124"/>
  <c r="AI82"/>
  <c r="AI58"/>
  <c r="O80"/>
  <c r="AI168"/>
  <c r="AI180"/>
  <c r="AI187"/>
  <c r="AI178"/>
  <c r="AI52"/>
  <c r="Y82"/>
  <c r="O98"/>
  <c r="AI183"/>
  <c r="AI99"/>
  <c r="AI73"/>
  <c r="T82"/>
  <c r="Y180"/>
  <c r="AI189"/>
  <c r="T74"/>
  <c r="AI84"/>
  <c r="AI89"/>
  <c r="O106"/>
  <c r="AI174"/>
  <c r="AI184"/>
  <c r="AI188"/>
  <c r="AI51"/>
  <c r="AI72"/>
  <c r="AI100"/>
  <c r="AI142"/>
  <c r="AI80"/>
  <c r="AD90"/>
  <c r="AI105"/>
  <c r="O50"/>
  <c r="AI55"/>
  <c r="Y90"/>
  <c r="AI91"/>
  <c r="AI106"/>
  <c r="AI177"/>
  <c r="AI186"/>
  <c r="AI83"/>
  <c r="AI79"/>
  <c r="AI90"/>
  <c r="AI176"/>
  <c r="AI60"/>
  <c r="AI63"/>
  <c r="AI67"/>
  <c r="AI74"/>
  <c r="AI81"/>
  <c r="T90"/>
  <c r="AI98"/>
  <c r="AI167"/>
  <c r="AD124"/>
  <c r="AD80"/>
  <c r="Y105"/>
  <c r="AK179"/>
  <c r="S179" s="1"/>
  <c r="K179"/>
  <c r="AD119"/>
  <c r="T190"/>
  <c r="O119"/>
  <c r="AI119"/>
  <c r="AI179"/>
  <c r="Y50"/>
  <c r="Y179"/>
  <c r="Y124"/>
  <c r="AK100"/>
  <c r="J100" s="1"/>
  <c r="O180"/>
  <c r="AE179"/>
  <c r="T124"/>
  <c r="Y119"/>
  <c r="T119"/>
  <c r="AD50"/>
  <c r="AD105"/>
  <c r="AK107"/>
  <c r="N107" s="1"/>
  <c r="T140"/>
  <c r="O124"/>
  <c r="U179"/>
  <c r="AK50"/>
  <c r="X50" s="1"/>
  <c r="AK105"/>
  <c r="J105" s="1"/>
  <c r="Y140"/>
  <c r="O179"/>
  <c r="AK190"/>
  <c r="X190" s="1"/>
  <c r="AK80"/>
  <c r="AH80" s="1"/>
  <c r="AK90"/>
  <c r="N90" s="1"/>
  <c r="Y190"/>
  <c r="AJ179"/>
  <c r="AK60"/>
  <c r="AH60" s="1"/>
  <c r="AD107"/>
  <c r="T106"/>
  <c r="AD106"/>
  <c r="Y60"/>
  <c r="O100"/>
  <c r="P119"/>
  <c r="T180"/>
  <c r="AD190"/>
  <c r="AK106"/>
  <c r="J106" s="1"/>
  <c r="T100"/>
  <c r="T105"/>
  <c r="AK180"/>
  <c r="AC180" s="1"/>
  <c r="Y80"/>
  <c r="O105"/>
  <c r="Y107"/>
  <c r="K124"/>
  <c r="O140"/>
  <c r="O190"/>
  <c r="T50"/>
  <c r="Y100"/>
  <c r="Y106"/>
  <c r="Z119"/>
  <c r="AJ124"/>
  <c r="K134"/>
  <c r="K139"/>
  <c r="K149"/>
  <c r="AD180"/>
  <c r="AK140"/>
  <c r="N140" s="1"/>
  <c r="AD100"/>
  <c r="I43" i="46"/>
  <c r="I27"/>
  <c r="L26" i="45"/>
  <c r="K26"/>
  <c r="J26"/>
  <c r="I26"/>
  <c r="H43" i="46"/>
  <c r="G43"/>
  <c r="H27"/>
  <c r="G27"/>
  <c r="H26" i="45"/>
  <c r="G26"/>
  <c r="M42" i="46"/>
  <c r="Q42" s="1"/>
  <c r="U42" s="1"/>
  <c r="Y42" s="1"/>
  <c r="AC42" s="1"/>
  <c r="L42"/>
  <c r="P42" s="1"/>
  <c r="T42" s="1"/>
  <c r="X42" s="1"/>
  <c r="AB42" s="1"/>
  <c r="K42"/>
  <c r="O42" s="1"/>
  <c r="S42" s="1"/>
  <c r="W42" s="1"/>
  <c r="AA42" s="1"/>
  <c r="M26"/>
  <c r="Q26" s="1"/>
  <c r="U26" s="1"/>
  <c r="Y26" s="1"/>
  <c r="AC26" s="1"/>
  <c r="L26"/>
  <c r="P26" s="1"/>
  <c r="T26" s="1"/>
  <c r="X26" s="1"/>
  <c r="AB26" s="1"/>
  <c r="K26"/>
  <c r="O26" s="1"/>
  <c r="S26" s="1"/>
  <c r="W26" s="1"/>
  <c r="AA26" s="1"/>
  <c r="S25" i="45"/>
  <c r="Z25" s="1"/>
  <c r="AG25" s="1"/>
  <c r="AN25" s="1"/>
  <c r="AU25" s="1"/>
  <c r="R25"/>
  <c r="Y25" s="1"/>
  <c r="AF25" s="1"/>
  <c r="AM25" s="1"/>
  <c r="AT25" s="1"/>
  <c r="Q25"/>
  <c r="X25" s="1"/>
  <c r="AE25" s="1"/>
  <c r="AL25" s="1"/>
  <c r="AS25" s="1"/>
  <c r="P25"/>
  <c r="W25" s="1"/>
  <c r="AD25" s="1"/>
  <c r="AK25" s="1"/>
  <c r="AR25" s="1"/>
  <c r="O25"/>
  <c r="V25" s="1"/>
  <c r="AC25" s="1"/>
  <c r="AJ25" s="1"/>
  <c r="AQ25" s="1"/>
  <c r="N25"/>
  <c r="U25" s="1"/>
  <c r="AB25" s="1"/>
  <c r="AI25" s="1"/>
  <c r="AP25" s="1"/>
  <c r="P40" i="25"/>
  <c r="F40"/>
  <c r="N190" i="52" l="1"/>
  <c r="N179"/>
  <c r="AC179"/>
  <c r="J80"/>
  <c r="X179"/>
  <c r="AH179"/>
  <c r="J179"/>
  <c r="S105"/>
  <c r="AC50"/>
  <c r="J90"/>
  <c r="AC105"/>
  <c r="X90"/>
  <c r="X105"/>
  <c r="S190"/>
  <c r="S100"/>
  <c r="AH90"/>
  <c r="X100"/>
  <c r="J190"/>
  <c r="AC107"/>
  <c r="AH100"/>
  <c r="X107"/>
  <c r="J107"/>
  <c r="S107"/>
  <c r="N100"/>
  <c r="AC100"/>
  <c r="AH190"/>
  <c r="AH107"/>
  <c r="AC190"/>
  <c r="AH105"/>
  <c r="N105"/>
  <c r="X60"/>
  <c r="AC90"/>
  <c r="AC60"/>
  <c r="S90"/>
  <c r="S180"/>
  <c r="N60"/>
  <c r="J50"/>
  <c r="N50"/>
  <c r="S60"/>
  <c r="S50"/>
  <c r="AH50"/>
  <c r="AC80"/>
  <c r="AC106"/>
  <c r="X80"/>
  <c r="N80"/>
  <c r="J60"/>
  <c r="S80"/>
  <c r="X106"/>
  <c r="X180"/>
  <c r="N180"/>
  <c r="J180"/>
  <c r="N106"/>
  <c r="AH106"/>
  <c r="S106"/>
  <c r="AH180"/>
  <c r="AH140"/>
  <c r="S140"/>
  <c r="X140"/>
  <c r="AC140"/>
  <c r="J140"/>
  <c r="H27" i="25"/>
  <c r="F37"/>
  <c r="P37"/>
  <c r="N37"/>
  <c r="L37"/>
  <c r="J37"/>
  <c r="H37"/>
  <c r="L22" i="58"/>
  <c r="L21"/>
  <c r="G21"/>
  <c r="Q170"/>
  <c r="Q169"/>
  <c r="Q168"/>
  <c r="Q167"/>
  <c r="Q166"/>
  <c r="Q165"/>
  <c r="Q164"/>
  <c r="Q163"/>
  <c r="Q160"/>
  <c r="Q158"/>
  <c r="Q157"/>
  <c r="Q154"/>
  <c r="Q153"/>
  <c r="Q152"/>
  <c r="Q151"/>
  <c r="Q146"/>
  <c r="Q137"/>
  <c r="Q132"/>
  <c r="Q127"/>
  <c r="Q126"/>
  <c r="Q125"/>
  <c r="Q122"/>
  <c r="Q121"/>
  <c r="Q120"/>
  <c r="Q117"/>
  <c r="Q116"/>
  <c r="Q115"/>
  <c r="Q112"/>
  <c r="Q111"/>
  <c r="Q110"/>
  <c r="Q107"/>
  <c r="Q106"/>
  <c r="Q105"/>
  <c r="Q101"/>
  <c r="Q100"/>
  <c r="Q97"/>
  <c r="Q96"/>
  <c r="Q95"/>
  <c r="Q91"/>
  <c r="Q90"/>
  <c r="Q80"/>
  <c r="Q79"/>
  <c r="Q72"/>
  <c r="Q71"/>
  <c r="Q64"/>
  <c r="Q63"/>
  <c r="Q56"/>
  <c r="Q55"/>
  <c r="Q53"/>
  <c r="Q48"/>
  <c r="Q47"/>
  <c r="Q40"/>
  <c r="Q39"/>
  <c r="Q31"/>
  <c r="Q82" i="55"/>
  <c r="Q83"/>
  <c r="Q84"/>
  <c r="Q71"/>
  <c r="Q72"/>
  <c r="Q73"/>
  <c r="I90" i="66"/>
  <c r="I89"/>
  <c r="I88"/>
  <c r="I87"/>
  <c r="I86"/>
  <c r="I85"/>
  <c r="I84"/>
  <c r="I83"/>
  <c r="I82"/>
  <c r="I81"/>
  <c r="I80"/>
  <c r="I79"/>
  <c r="I78"/>
  <c r="I77"/>
  <c r="I76"/>
  <c r="I75"/>
  <c r="I74"/>
  <c r="I73"/>
  <c r="I72"/>
  <c r="I71"/>
  <c r="I70"/>
  <c r="I69"/>
  <c r="I68"/>
  <c r="I67"/>
  <c r="I66"/>
  <c r="I65"/>
  <c r="I64"/>
  <c r="I63"/>
  <c r="I62"/>
  <c r="I61"/>
  <c r="I60"/>
  <c r="I59"/>
  <c r="I58"/>
  <c r="I57"/>
  <c r="I56"/>
  <c r="I55"/>
  <c r="I48" l="1"/>
  <c r="I47"/>
  <c r="U181" i="64" l="1"/>
  <c r="L82" i="55"/>
  <c r="H178" i="64" s="1"/>
  <c r="K82" i="55"/>
  <c r="I82"/>
  <c r="H82"/>
  <c r="G82"/>
  <c r="L84"/>
  <c r="H180" i="64" s="1"/>
  <c r="K84" i="55"/>
  <c r="I84"/>
  <c r="H84"/>
  <c r="G84"/>
  <c r="L83"/>
  <c r="H179" i="64" s="1"/>
  <c r="K83" i="55"/>
  <c r="I83"/>
  <c r="H83"/>
  <c r="G83"/>
  <c r="M74"/>
  <c r="AF182" i="52"/>
  <c r="AI182" s="1"/>
  <c r="AA182"/>
  <c r="V182"/>
  <c r="Q182"/>
  <c r="L182"/>
  <c r="G243" i="65"/>
  <c r="G242"/>
  <c r="G241"/>
  <c r="G240"/>
  <c r="G239"/>
  <c r="M50" i="66"/>
  <c r="M49"/>
  <c r="M46"/>
  <c r="M43"/>
  <c r="M42"/>
  <c r="M41"/>
  <c r="M40"/>
  <c r="M39"/>
  <c r="M38"/>
  <c r="M37"/>
  <c r="M33"/>
  <c r="M31"/>
  <c r="M30"/>
  <c r="M26"/>
  <c r="M4"/>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14"/>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14"/>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14"/>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14"/>
  <c r="O50"/>
  <c r="O49"/>
  <c r="O46"/>
  <c r="O43"/>
  <c r="O42"/>
  <c r="O41"/>
  <c r="O40"/>
  <c r="O39"/>
  <c r="O38"/>
  <c r="O37"/>
  <c r="O33"/>
  <c r="O31"/>
  <c r="O30"/>
  <c r="O26"/>
  <c r="O4"/>
  <c r="N50"/>
  <c r="N49"/>
  <c r="N46"/>
  <c r="N43"/>
  <c r="N42"/>
  <c r="N41"/>
  <c r="N40"/>
  <c r="N39"/>
  <c r="N38"/>
  <c r="N37"/>
  <c r="N33"/>
  <c r="N31"/>
  <c r="N30"/>
  <c r="N26"/>
  <c r="N4"/>
  <c r="L50"/>
  <c r="M82" i="55" s="1"/>
  <c r="G178" i="64" s="1"/>
  <c r="L49" i="66"/>
  <c r="M83" i="55" s="1"/>
  <c r="G179" i="64" s="1"/>
  <c r="L46" i="66"/>
  <c r="L43"/>
  <c r="L42"/>
  <c r="L41"/>
  <c r="L40"/>
  <c r="L39"/>
  <c r="L38"/>
  <c r="L37"/>
  <c r="L33"/>
  <c r="L31"/>
  <c r="L30"/>
  <c r="L26"/>
  <c r="L4"/>
  <c r="G237" i="65"/>
  <c r="G234"/>
  <c r="AF175" i="52" s="1"/>
  <c r="G232" i="65"/>
  <c r="G231"/>
  <c r="F232"/>
  <c r="F231"/>
  <c r="E232"/>
  <c r="E231"/>
  <c r="D232"/>
  <c r="D231"/>
  <c r="C232"/>
  <c r="C231"/>
  <c r="B232"/>
  <c r="B231"/>
  <c r="B230"/>
  <c r="G230"/>
  <c r="F230"/>
  <c r="E230"/>
  <c r="D230"/>
  <c r="C230"/>
  <c r="B223"/>
  <c r="B224" s="1"/>
  <c r="G225"/>
  <c r="G226" s="1"/>
  <c r="F225"/>
  <c r="F226" s="1"/>
  <c r="E225"/>
  <c r="E226" s="1"/>
  <c r="D225"/>
  <c r="D226" s="1"/>
  <c r="C225"/>
  <c r="C226" s="1"/>
  <c r="B225"/>
  <c r="B226" s="1"/>
  <c r="G223"/>
  <c r="F223"/>
  <c r="F224" s="1"/>
  <c r="E223"/>
  <c r="E224" s="1"/>
  <c r="D223"/>
  <c r="D224" s="1"/>
  <c r="C223"/>
  <c r="C224" s="1"/>
  <c r="G221"/>
  <c r="F221"/>
  <c r="E221"/>
  <c r="D221"/>
  <c r="C221"/>
  <c r="B221"/>
  <c r="G222"/>
  <c r="F222"/>
  <c r="E222"/>
  <c r="D222"/>
  <c r="C222"/>
  <c r="B22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O49" i="64"/>
  <c r="G60"/>
  <c r="Q60" i="55"/>
  <c r="Q61"/>
  <c r="Q62"/>
  <c r="Q63"/>
  <c r="Q64"/>
  <c r="Q65"/>
  <c r="Q66"/>
  <c r="Q53"/>
  <c r="Q54"/>
  <c r="Q55"/>
  <c r="Q56"/>
  <c r="Q57"/>
  <c r="Q21"/>
  <c r="L49"/>
  <c r="K49"/>
  <c r="I49"/>
  <c r="H49"/>
  <c r="G49"/>
  <c r="M49"/>
  <c r="Q43"/>
  <c r="Q42"/>
  <c r="Q41"/>
  <c r="Q40"/>
  <c r="Q39"/>
  <c r="Q38"/>
  <c r="Q37"/>
  <c r="Q29"/>
  <c r="Q30"/>
  <c r="Q31"/>
  <c r="Q32"/>
  <c r="G33"/>
  <c r="H33"/>
  <c r="I33"/>
  <c r="K33"/>
  <c r="L33"/>
  <c r="M33"/>
  <c r="Q33"/>
  <c r="Q34"/>
  <c r="Q35"/>
  <c r="K16" i="66"/>
  <c r="L16"/>
  <c r="M16"/>
  <c r="N16"/>
  <c r="O16"/>
  <c r="H60" i="64"/>
  <c r="B96" i="76"/>
  <c r="K12"/>
  <c r="J12"/>
  <c r="K28" i="66"/>
  <c r="L28" s="1"/>
  <c r="D127" i="64"/>
  <c r="D112" i="58"/>
  <c r="K113" i="76"/>
  <c r="J113"/>
  <c r="A97"/>
  <c r="K13"/>
  <c r="J13"/>
  <c r="M29" i="66"/>
  <c r="L29" s="1"/>
  <c r="AF112" i="52"/>
  <c r="AI112" s="1"/>
  <c r="AA112"/>
  <c r="V112"/>
  <c r="Q112"/>
  <c r="L112"/>
  <c r="AF111"/>
  <c r="AI111" s="1"/>
  <c r="AA111"/>
  <c r="V111"/>
  <c r="Q111"/>
  <c r="L111"/>
  <c r="AF110"/>
  <c r="AI110" s="1"/>
  <c r="AA110"/>
  <c r="V110"/>
  <c r="Q110"/>
  <c r="L110"/>
  <c r="F172"/>
  <c r="C128" i="64"/>
  <c r="C113" i="58"/>
  <c r="K114" i="76"/>
  <c r="J114"/>
  <c r="B98"/>
  <c r="K14"/>
  <c r="J14"/>
  <c r="D1"/>
  <c r="K30" i="66"/>
  <c r="AF117" i="52"/>
  <c r="AI117" s="1"/>
  <c r="AA117"/>
  <c r="V117"/>
  <c r="Q117"/>
  <c r="L117"/>
  <c r="AF116"/>
  <c r="AI116" s="1"/>
  <c r="AA116"/>
  <c r="V116"/>
  <c r="Q116"/>
  <c r="L116"/>
  <c r="AF115"/>
  <c r="AI115" s="1"/>
  <c r="AA115"/>
  <c r="V115"/>
  <c r="Q115"/>
  <c r="L115"/>
  <c r="F173"/>
  <c r="F129" i="64"/>
  <c r="D129"/>
  <c r="F114" i="58"/>
  <c r="D114"/>
  <c r="K115" i="76"/>
  <c r="J115"/>
  <c r="B99"/>
  <c r="K15"/>
  <c r="J15"/>
  <c r="K31" i="66"/>
  <c r="D130" i="64"/>
  <c r="E26"/>
  <c r="E25"/>
  <c r="E24"/>
  <c r="E23"/>
  <c r="E22"/>
  <c r="E21"/>
  <c r="F174" i="52"/>
  <c r="AF122"/>
  <c r="AI122" s="1"/>
  <c r="AA122"/>
  <c r="V122"/>
  <c r="Q122"/>
  <c r="L122"/>
  <c r="AF121"/>
  <c r="AI121" s="1"/>
  <c r="AA121"/>
  <c r="V121"/>
  <c r="Q121"/>
  <c r="L121"/>
  <c r="AF120"/>
  <c r="AI120" s="1"/>
  <c r="AA120"/>
  <c r="V120"/>
  <c r="Y120" s="1"/>
  <c r="Q120"/>
  <c r="L120"/>
  <c r="D115" i="58"/>
  <c r="K116" i="76"/>
  <c r="J116"/>
  <c r="B100"/>
  <c r="BP33"/>
  <c r="BO33"/>
  <c r="BN33"/>
  <c r="BL33"/>
  <c r="BJ33"/>
  <c r="BI33"/>
  <c r="BH33"/>
  <c r="BF33"/>
  <c r="BD33"/>
  <c r="BC33"/>
  <c r="BB33"/>
  <c r="AZ33"/>
  <c r="AY33"/>
  <c r="AX33"/>
  <c r="AW33"/>
  <c r="AV33"/>
  <c r="AT33"/>
  <c r="AS33"/>
  <c r="AR33"/>
  <c r="AQ33"/>
  <c r="AP33"/>
  <c r="AN33"/>
  <c r="AM33"/>
  <c r="AL33"/>
  <c r="AK33"/>
  <c r="AJ33"/>
  <c r="AH33"/>
  <c r="AG33"/>
  <c r="AF33"/>
  <c r="AE33"/>
  <c r="AD33"/>
  <c r="AB33"/>
  <c r="AA33"/>
  <c r="Z33"/>
  <c r="BQ33" s="1"/>
  <c r="Y33"/>
  <c r="BK33" s="1"/>
  <c r="X33"/>
  <c r="BE33" s="1"/>
  <c r="V33"/>
  <c r="K16"/>
  <c r="J16"/>
  <c r="AF127" i="52"/>
  <c r="AI127" s="1"/>
  <c r="AA127"/>
  <c r="V127"/>
  <c r="Q127"/>
  <c r="L127"/>
  <c r="AF126"/>
  <c r="AI126" s="1"/>
  <c r="AA126"/>
  <c r="V126"/>
  <c r="Q126"/>
  <c r="L126"/>
  <c r="AF125"/>
  <c r="AI125" s="1"/>
  <c r="AA125"/>
  <c r="V125"/>
  <c r="Q125"/>
  <c r="L125"/>
  <c r="D131" i="64"/>
  <c r="D116" i="58"/>
  <c r="B101" i="76"/>
  <c r="BP17"/>
  <c r="BO17"/>
  <c r="BN17"/>
  <c r="BL17"/>
  <c r="BJ17"/>
  <c r="BI17"/>
  <c r="BH17"/>
  <c r="BF17"/>
  <c r="BD17"/>
  <c r="BC17"/>
  <c r="BB17"/>
  <c r="AZ17"/>
  <c r="AY17"/>
  <c r="AX17"/>
  <c r="AW17"/>
  <c r="AV17"/>
  <c r="AT17"/>
  <c r="AS17"/>
  <c r="AR17"/>
  <c r="AQ17"/>
  <c r="AP17"/>
  <c r="AN17"/>
  <c r="AM17"/>
  <c r="AL17"/>
  <c r="AK17"/>
  <c r="AJ17"/>
  <c r="AH17"/>
  <c r="AG17"/>
  <c r="AF17"/>
  <c r="AE17"/>
  <c r="AD17"/>
  <c r="AB17"/>
  <c r="AA17"/>
  <c r="Z17"/>
  <c r="BQ17" s="1"/>
  <c r="Y17"/>
  <c r="BK17" s="1"/>
  <c r="X17"/>
  <c r="BE17" s="1"/>
  <c r="V17"/>
  <c r="N28" i="66" l="1"/>
  <c r="O28"/>
  <c r="N29"/>
  <c r="K29"/>
  <c r="M28"/>
  <c r="O29"/>
  <c r="Y110" i="52"/>
  <c r="T110"/>
  <c r="O120"/>
  <c r="AK120"/>
  <c r="AH120" s="1"/>
  <c r="AD110"/>
  <c r="AD120"/>
  <c r="AK110"/>
  <c r="J110" s="1"/>
  <c r="O110"/>
  <c r="T120"/>
  <c r="Y83"/>
  <c r="AD174"/>
  <c r="AD75"/>
  <c r="O116"/>
  <c r="Y58"/>
  <c r="AK52"/>
  <c r="J52" s="1"/>
  <c r="T79"/>
  <c r="AD84"/>
  <c r="O121"/>
  <c r="AD59"/>
  <c r="AD171"/>
  <c r="O83"/>
  <c r="AK49"/>
  <c r="N49" s="1"/>
  <c r="AK141"/>
  <c r="AK182"/>
  <c r="AK79"/>
  <c r="AK83"/>
  <c r="J83" s="1"/>
  <c r="O75"/>
  <c r="AK63"/>
  <c r="T68"/>
  <c r="AK172"/>
  <c r="AH172" s="1"/>
  <c r="AD56"/>
  <c r="AK58"/>
  <c r="N58" s="1"/>
  <c r="AK111"/>
  <c r="T112"/>
  <c r="Y51"/>
  <c r="O142"/>
  <c r="T171"/>
  <c r="Y81"/>
  <c r="O84"/>
  <c r="AK71"/>
  <c r="T72"/>
  <c r="AK75"/>
  <c r="AC75" s="1"/>
  <c r="T76"/>
  <c r="AK122"/>
  <c r="N122" s="1"/>
  <c r="O174"/>
  <c r="O64"/>
  <c r="Y65"/>
  <c r="O68"/>
  <c r="O55"/>
  <c r="Y56"/>
  <c r="O59"/>
  <c r="O112"/>
  <c r="T47"/>
  <c r="T51"/>
  <c r="AK142"/>
  <c r="N142" s="1"/>
  <c r="O171"/>
  <c r="Y79"/>
  <c r="AD71"/>
  <c r="O173"/>
  <c r="Y67"/>
  <c r="Y172"/>
  <c r="T83"/>
  <c r="Y174"/>
  <c r="AD68"/>
  <c r="AD112"/>
  <c r="O49"/>
  <c r="O127"/>
  <c r="AK74"/>
  <c r="AC74" s="1"/>
  <c r="AK121"/>
  <c r="O117"/>
  <c r="AD81"/>
  <c r="AK127"/>
  <c r="X127" s="1"/>
  <c r="O122"/>
  <c r="AD65"/>
  <c r="T55"/>
  <c r="Y47"/>
  <c r="AK84"/>
  <c r="N84" s="1"/>
  <c r="O72"/>
  <c r="O76"/>
  <c r="AK174"/>
  <c r="X174" s="1"/>
  <c r="AK64"/>
  <c r="T65"/>
  <c r="AK68"/>
  <c r="X68" s="1"/>
  <c r="AK55"/>
  <c r="T56"/>
  <c r="AK59"/>
  <c r="N59" s="1"/>
  <c r="AK112"/>
  <c r="AH112" s="1"/>
  <c r="O47"/>
  <c r="O51"/>
  <c r="AK171"/>
  <c r="AC171" s="1"/>
  <c r="O126"/>
  <c r="AD122"/>
  <c r="O66"/>
  <c r="Y117"/>
  <c r="O57"/>
  <c r="Y111"/>
  <c r="T49"/>
  <c r="AD142"/>
  <c r="T182"/>
  <c r="AK126"/>
  <c r="Y122"/>
  <c r="AD64"/>
  <c r="AK116"/>
  <c r="AD55"/>
  <c r="O182"/>
  <c r="O79"/>
  <c r="O67"/>
  <c r="O172"/>
  <c r="O58"/>
  <c r="O111"/>
  <c r="T84"/>
  <c r="Y72"/>
  <c r="Y76"/>
  <c r="T64"/>
  <c r="AK117"/>
  <c r="O81"/>
  <c r="O125"/>
  <c r="AK72"/>
  <c r="AK76"/>
  <c r="S76" s="1"/>
  <c r="O65"/>
  <c r="O115"/>
  <c r="O56"/>
  <c r="AK47"/>
  <c r="AD49"/>
  <c r="AK51"/>
  <c r="Y127"/>
  <c r="AK73"/>
  <c r="AC73" s="1"/>
  <c r="T121"/>
  <c r="Y63"/>
  <c r="AK48"/>
  <c r="T141"/>
  <c r="AK82"/>
  <c r="AC82" s="1"/>
  <c r="Y71"/>
  <c r="Y75"/>
  <c r="AK173"/>
  <c r="AH173" s="1"/>
  <c r="AK66"/>
  <c r="N66" s="1"/>
  <c r="AK57"/>
  <c r="X57" s="1"/>
  <c r="O141"/>
  <c r="O63"/>
  <c r="O71"/>
  <c r="AK67"/>
  <c r="S67" s="1"/>
  <c r="T59"/>
  <c r="AK81"/>
  <c r="AK125"/>
  <c r="O73"/>
  <c r="Y121"/>
  <c r="AK65"/>
  <c r="X65" s="1"/>
  <c r="AK115"/>
  <c r="AK56"/>
  <c r="O48"/>
  <c r="Y49"/>
  <c r="O52"/>
  <c r="Y141"/>
  <c r="T127"/>
  <c r="T63"/>
  <c r="T67"/>
  <c r="T117"/>
  <c r="T172"/>
  <c r="T58"/>
  <c r="T111"/>
  <c r="Y142"/>
  <c r="Y84"/>
  <c r="T174"/>
  <c r="T71"/>
  <c r="AD72"/>
  <c r="T75"/>
  <c r="AD76"/>
  <c r="T122"/>
  <c r="Y64"/>
  <c r="Y68"/>
  <c r="Y55"/>
  <c r="Y59"/>
  <c r="Y112"/>
  <c r="AD47"/>
  <c r="AD51"/>
  <c r="T142"/>
  <c r="Y171"/>
  <c r="AD52"/>
  <c r="T81"/>
  <c r="Y73"/>
  <c r="AD66"/>
  <c r="AD57"/>
  <c r="Y48"/>
  <c r="Y52"/>
  <c r="AD48"/>
  <c r="T73"/>
  <c r="Y66"/>
  <c r="Y57"/>
  <c r="T48"/>
  <c r="T52"/>
  <c r="AD73"/>
  <c r="AD79"/>
  <c r="AD83"/>
  <c r="T126"/>
  <c r="AD127"/>
  <c r="T173"/>
  <c r="AD63"/>
  <c r="T66"/>
  <c r="AD67"/>
  <c r="T116"/>
  <c r="AD117"/>
  <c r="AD172"/>
  <c r="T57"/>
  <c r="AD58"/>
  <c r="AD111"/>
  <c r="AD125"/>
  <c r="AD115"/>
  <c r="Y125"/>
  <c r="Y115"/>
  <c r="AD126"/>
  <c r="AD173"/>
  <c r="T115"/>
  <c r="AD116"/>
  <c r="T125"/>
  <c r="Y126"/>
  <c r="AD121"/>
  <c r="Y173"/>
  <c r="Y116"/>
  <c r="AD141"/>
  <c r="AD182"/>
  <c r="Y182"/>
  <c r="M17" i="55"/>
  <c r="C39" i="25"/>
  <c r="C38"/>
  <c r="P17" i="55"/>
  <c r="E227" i="65"/>
  <c r="E229" s="1"/>
  <c r="E237" s="1"/>
  <c r="E239" s="1"/>
  <c r="F227"/>
  <c r="F228" s="1"/>
  <c r="F234" s="1"/>
  <c r="AA175" i="52" s="1"/>
  <c r="G227" i="65"/>
  <c r="G228" s="1"/>
  <c r="D227"/>
  <c r="D229" s="1"/>
  <c r="D237" s="1"/>
  <c r="D239" s="1"/>
  <c r="C227"/>
  <c r="B227"/>
  <c r="K33" i="66"/>
  <c r="F176" i="52"/>
  <c r="AF132"/>
  <c r="AI132" s="1"/>
  <c r="AA132"/>
  <c r="V132"/>
  <c r="Q132"/>
  <c r="L132"/>
  <c r="AF131"/>
  <c r="AI131" s="1"/>
  <c r="AA131"/>
  <c r="V131"/>
  <c r="Q131"/>
  <c r="L131"/>
  <c r="AF130"/>
  <c r="AI130" s="1"/>
  <c r="AA130"/>
  <c r="AD130" s="1"/>
  <c r="V130"/>
  <c r="Q130"/>
  <c r="L130"/>
  <c r="D132" i="64"/>
  <c r="D117" i="58"/>
  <c r="S110" i="52" l="1"/>
  <c r="N74"/>
  <c r="X110"/>
  <c r="S120"/>
  <c r="AC110"/>
  <c r="AH110"/>
  <c r="T130"/>
  <c r="AC120"/>
  <c r="Y130"/>
  <c r="AK130"/>
  <c r="S130" s="1"/>
  <c r="O130"/>
  <c r="X120"/>
  <c r="J120"/>
  <c r="N110"/>
  <c r="N120"/>
  <c r="X48"/>
  <c r="S48"/>
  <c r="AH48"/>
  <c r="J48"/>
  <c r="N48"/>
  <c r="AC48"/>
  <c r="S72"/>
  <c r="X72"/>
  <c r="N72"/>
  <c r="AC72"/>
  <c r="AH72"/>
  <c r="J72"/>
  <c r="J64"/>
  <c r="X64"/>
  <c r="AC64"/>
  <c r="S64"/>
  <c r="AH64"/>
  <c r="N64"/>
  <c r="N63"/>
  <c r="S63"/>
  <c r="AH63"/>
  <c r="J63"/>
  <c r="X63"/>
  <c r="AC63"/>
  <c r="AC47"/>
  <c r="AH47"/>
  <c r="J47"/>
  <c r="N47"/>
  <c r="X47"/>
  <c r="S47"/>
  <c r="S115"/>
  <c r="X115"/>
  <c r="N115"/>
  <c r="AC115"/>
  <c r="J115"/>
  <c r="AH115"/>
  <c r="J55"/>
  <c r="S55"/>
  <c r="X55"/>
  <c r="AC55"/>
  <c r="AH55"/>
  <c r="N55"/>
  <c r="S141"/>
  <c r="X141"/>
  <c r="AC141"/>
  <c r="N141"/>
  <c r="J141"/>
  <c r="AH141"/>
  <c r="S116"/>
  <c r="X116"/>
  <c r="AC116"/>
  <c r="AH116"/>
  <c r="J116"/>
  <c r="N116"/>
  <c r="N56"/>
  <c r="X56"/>
  <c r="AC56"/>
  <c r="J56"/>
  <c r="AH56"/>
  <c r="S56"/>
  <c r="AC126"/>
  <c r="N126"/>
  <c r="S126"/>
  <c r="AH126"/>
  <c r="J126"/>
  <c r="X126"/>
  <c r="N121"/>
  <c r="AH121"/>
  <c r="S121"/>
  <c r="X121"/>
  <c r="AC121"/>
  <c r="J121"/>
  <c r="AH71"/>
  <c r="AC71"/>
  <c r="N71"/>
  <c r="J71"/>
  <c r="X71"/>
  <c r="S71"/>
  <c r="N182"/>
  <c r="S182"/>
  <c r="X182"/>
  <c r="J182"/>
  <c r="AC182"/>
  <c r="AH182"/>
  <c r="AC125"/>
  <c r="J125"/>
  <c r="AH125"/>
  <c r="N125"/>
  <c r="X125"/>
  <c r="S125"/>
  <c r="X111"/>
  <c r="J111"/>
  <c r="AC111"/>
  <c r="AH111"/>
  <c r="N111"/>
  <c r="S111"/>
  <c r="N79"/>
  <c r="J79"/>
  <c r="AH79"/>
  <c r="AC79"/>
  <c r="X79"/>
  <c r="S79"/>
  <c r="X81"/>
  <c r="J51"/>
  <c r="J117"/>
  <c r="AH174"/>
  <c r="X112"/>
  <c r="AH58"/>
  <c r="X52"/>
  <c r="AH52"/>
  <c r="S52"/>
  <c r="AC52"/>
  <c r="N52"/>
  <c r="AH75"/>
  <c r="S117"/>
  <c r="J65"/>
  <c r="AH81"/>
  <c r="S82"/>
  <c r="AH171"/>
  <c r="J82"/>
  <c r="J75"/>
  <c r="S66"/>
  <c r="AC67"/>
  <c r="X75"/>
  <c r="X82"/>
  <c r="N81"/>
  <c r="S75"/>
  <c r="J173"/>
  <c r="N82"/>
  <c r="AH142"/>
  <c r="AH51"/>
  <c r="X173"/>
  <c r="AC142"/>
  <c r="S142"/>
  <c r="S174"/>
  <c r="J58"/>
  <c r="S173"/>
  <c r="AH67"/>
  <c r="AH66"/>
  <c r="S51"/>
  <c r="X171"/>
  <c r="X142"/>
  <c r="J171"/>
  <c r="N75"/>
  <c r="X49"/>
  <c r="S81"/>
  <c r="S68"/>
  <c r="AC127"/>
  <c r="J73"/>
  <c r="S84"/>
  <c r="X73"/>
  <c r="S65"/>
  <c r="AC81"/>
  <c r="X51"/>
  <c r="N83"/>
  <c r="S127"/>
  <c r="N172"/>
  <c r="J68"/>
  <c r="J84"/>
  <c r="J127"/>
  <c r="X67"/>
  <c r="N174"/>
  <c r="AC174"/>
  <c r="AH49"/>
  <c r="AC68"/>
  <c r="N73"/>
  <c r="AH68"/>
  <c r="AH127"/>
  <c r="N112"/>
  <c r="S171"/>
  <c r="N127"/>
  <c r="S49"/>
  <c r="S74"/>
  <c r="AC51"/>
  <c r="N51"/>
  <c r="AH84"/>
  <c r="N68"/>
  <c r="AC58"/>
  <c r="X122"/>
  <c r="N171"/>
  <c r="O131"/>
  <c r="AK131"/>
  <c r="O87"/>
  <c r="O91"/>
  <c r="O132"/>
  <c r="AK87"/>
  <c r="T88"/>
  <c r="AD89"/>
  <c r="AK91"/>
  <c r="T92"/>
  <c r="AK132"/>
  <c r="S132" s="1"/>
  <c r="O176"/>
  <c r="X76"/>
  <c r="AC57"/>
  <c r="AH59"/>
  <c r="N117"/>
  <c r="N65"/>
  <c r="N67"/>
  <c r="AH74"/>
  <c r="AC65"/>
  <c r="AH76"/>
  <c r="N173"/>
  <c r="J122"/>
  <c r="AC84"/>
  <c r="X58"/>
  <c r="X83"/>
  <c r="AC83"/>
  <c r="J67"/>
  <c r="X66"/>
  <c r="AH83"/>
  <c r="X117"/>
  <c r="AH73"/>
  <c r="S58"/>
  <c r="J59"/>
  <c r="AH82"/>
  <c r="S122"/>
  <c r="J49"/>
  <c r="AC117"/>
  <c r="J81"/>
  <c r="J66"/>
  <c r="AH117"/>
  <c r="S73"/>
  <c r="AC66"/>
  <c r="AH65"/>
  <c r="N76"/>
  <c r="J74"/>
  <c r="AC112"/>
  <c r="S83"/>
  <c r="X172"/>
  <c r="S172"/>
  <c r="S112"/>
  <c r="J172"/>
  <c r="AC59"/>
  <c r="O88"/>
  <c r="Y89"/>
  <c r="O92"/>
  <c r="AK176"/>
  <c r="AK88"/>
  <c r="T89"/>
  <c r="AK92"/>
  <c r="S92" s="1"/>
  <c r="O89"/>
  <c r="AK89"/>
  <c r="J89" s="1"/>
  <c r="N57"/>
  <c r="AH57"/>
  <c r="S59"/>
  <c r="AC49"/>
  <c r="AC173"/>
  <c r="AC172"/>
  <c r="X84"/>
  <c r="X74"/>
  <c r="AC76"/>
  <c r="AC122"/>
  <c r="X59"/>
  <c r="S57"/>
  <c r="AH122"/>
  <c r="J57"/>
  <c r="J76"/>
  <c r="J112"/>
  <c r="J174"/>
  <c r="J142"/>
  <c r="Y88"/>
  <c r="Y92"/>
  <c r="T176"/>
  <c r="AD176"/>
  <c r="AD87"/>
  <c r="AD91"/>
  <c r="Y91"/>
  <c r="Y132"/>
  <c r="Y176"/>
  <c r="Y87"/>
  <c r="T87"/>
  <c r="AD88"/>
  <c r="T91"/>
  <c r="AD92"/>
  <c r="T132"/>
  <c r="AD131"/>
  <c r="Y131"/>
  <c r="T131"/>
  <c r="AD132"/>
  <c r="E241" i="65"/>
  <c r="E242"/>
  <c r="E240"/>
  <c r="E243"/>
  <c r="D241"/>
  <c r="D240"/>
  <c r="D242"/>
  <c r="D243"/>
  <c r="E228"/>
  <c r="E234" s="1"/>
  <c r="V175" i="52" s="1"/>
  <c r="D228" i="65"/>
  <c r="D234" s="1"/>
  <c r="Q175" i="52" s="1"/>
  <c r="F229" i="65"/>
  <c r="F237" s="1"/>
  <c r="F239" s="1"/>
  <c r="C228"/>
  <c r="C234" s="1"/>
  <c r="L175" i="52" s="1"/>
  <c r="C229" i="65"/>
  <c r="C237" s="1"/>
  <c r="C239" s="1"/>
  <c r="B229"/>
  <c r="B237" s="1"/>
  <c r="B239" s="1"/>
  <c r="B228"/>
  <c r="B234" s="1"/>
  <c r="H175" i="52" s="1"/>
  <c r="AI175" s="1"/>
  <c r="H112" i="58"/>
  <c r="E96" i="76"/>
  <c r="K127" i="64"/>
  <c r="J127"/>
  <c r="G112" i="58"/>
  <c r="D96" i="76"/>
  <c r="I112" i="58"/>
  <c r="F96" i="76"/>
  <c r="L127" i="64"/>
  <c r="M127"/>
  <c r="J112" i="58"/>
  <c r="G96" i="76"/>
  <c r="L112" i="58"/>
  <c r="I96" i="76"/>
  <c r="O127" i="64"/>
  <c r="H96" i="76"/>
  <c r="K112" i="58"/>
  <c r="N127" i="64"/>
  <c r="Q22" i="55"/>
  <c r="Q23"/>
  <c r="Q24"/>
  <c r="Q25"/>
  <c r="Q26"/>
  <c r="Q27"/>
  <c r="N130" i="52" l="1"/>
  <c r="AC130"/>
  <c r="J130"/>
  <c r="AH130"/>
  <c r="X130"/>
  <c r="S87"/>
  <c r="AH87"/>
  <c r="N87"/>
  <c r="X87"/>
  <c r="AC87"/>
  <c r="J87"/>
  <c r="N131"/>
  <c r="AH131"/>
  <c r="S131"/>
  <c r="X131"/>
  <c r="J131"/>
  <c r="AC131"/>
  <c r="AH176"/>
  <c r="AC176"/>
  <c r="N176"/>
  <c r="J176"/>
  <c r="X176"/>
  <c r="S176"/>
  <c r="AC88"/>
  <c r="S88"/>
  <c r="X88"/>
  <c r="J88"/>
  <c r="AH88"/>
  <c r="N88"/>
  <c r="X91"/>
  <c r="AD175"/>
  <c r="Y175"/>
  <c r="O175"/>
  <c r="T175"/>
  <c r="AC132"/>
  <c r="J132"/>
  <c r="N132"/>
  <c r="S91"/>
  <c r="AH132"/>
  <c r="J92"/>
  <c r="AH89"/>
  <c r="X92"/>
  <c r="AC92"/>
  <c r="N89"/>
  <c r="S89"/>
  <c r="X89"/>
  <c r="AH92"/>
  <c r="AC89"/>
  <c r="N92"/>
  <c r="X132"/>
  <c r="N91"/>
  <c r="AC91"/>
  <c r="J91"/>
  <c r="AH91"/>
  <c r="AK175"/>
  <c r="J175" s="1"/>
  <c r="F240" i="65"/>
  <c r="F241"/>
  <c r="F242"/>
  <c r="F243"/>
  <c r="C243"/>
  <c r="C242"/>
  <c r="C240"/>
  <c r="C241"/>
  <c r="B240"/>
  <c r="B241"/>
  <c r="B242"/>
  <c r="B243"/>
  <c r="K50" i="66"/>
  <c r="K49"/>
  <c r="S170" i="64" l="1"/>
  <c r="T170"/>
  <c r="Q170"/>
  <c r="R170"/>
  <c r="N175" i="52"/>
  <c r="AH175"/>
  <c r="AC175"/>
  <c r="S175"/>
  <c r="X175"/>
  <c r="K21" i="46"/>
  <c r="H28" i="25"/>
  <c r="H23"/>
  <c r="M123" i="66" l="1"/>
  <c r="M122"/>
  <c r="M121"/>
  <c r="M120"/>
  <c r="M119"/>
  <c r="M118"/>
  <c r="M117"/>
  <c r="M116"/>
  <c r="M115"/>
  <c r="M114"/>
  <c r="M113"/>
  <c r="M112"/>
  <c r="M111"/>
  <c r="M110"/>
  <c r="M109"/>
  <c r="M108"/>
  <c r="M107"/>
  <c r="M106"/>
  <c r="M105"/>
  <c r="M104"/>
  <c r="M103"/>
  <c r="M102"/>
  <c r="M101"/>
  <c r="M100"/>
  <c r="M99"/>
  <c r="M98"/>
  <c r="M97"/>
  <c r="M96"/>
  <c r="M95"/>
  <c r="M94"/>
  <c r="M93"/>
  <c r="M85" i="55"/>
  <c r="K90" i="66"/>
  <c r="K89"/>
  <c r="K88"/>
  <c r="K87"/>
  <c r="K86"/>
  <c r="K85"/>
  <c r="K84"/>
  <c r="K83"/>
  <c r="K82"/>
  <c r="K81"/>
  <c r="K80"/>
  <c r="K79"/>
  <c r="K78"/>
  <c r="K77"/>
  <c r="K76"/>
  <c r="K75"/>
  <c r="K74"/>
  <c r="K73"/>
  <c r="K72"/>
  <c r="K71"/>
  <c r="K70"/>
  <c r="K69"/>
  <c r="K68"/>
  <c r="K67"/>
  <c r="K66"/>
  <c r="K65"/>
  <c r="K64"/>
  <c r="K63"/>
  <c r="K62"/>
  <c r="K61"/>
  <c r="K60"/>
  <c r="K59"/>
  <c r="K58"/>
  <c r="K57"/>
  <c r="K56"/>
  <c r="K55"/>
  <c r="I124"/>
  <c r="M124" s="1"/>
  <c r="I125"/>
  <c r="M125" s="1"/>
  <c r="I126"/>
  <c r="M126" s="1"/>
  <c r="I127"/>
  <c r="M127" s="1"/>
  <c r="L90" l="1"/>
  <c r="M90"/>
  <c r="O90"/>
  <c r="N90"/>
  <c r="O89"/>
  <c r="N89"/>
  <c r="L89"/>
  <c r="M89"/>
  <c r="O88"/>
  <c r="N88"/>
  <c r="L88"/>
  <c r="M88"/>
  <c r="M87"/>
  <c r="L87"/>
  <c r="N87"/>
  <c r="O87"/>
  <c r="L86"/>
  <c r="M86"/>
  <c r="N86"/>
  <c r="O86"/>
  <c r="N85"/>
  <c r="O85"/>
  <c r="M85"/>
  <c r="L85"/>
  <c r="M84"/>
  <c r="O84"/>
  <c r="L84"/>
  <c r="N84"/>
  <c r="M83"/>
  <c r="O83"/>
  <c r="N83"/>
  <c r="L83"/>
  <c r="N82"/>
  <c r="L82"/>
  <c r="M82"/>
  <c r="O82"/>
  <c r="M81"/>
  <c r="O81"/>
  <c r="N81"/>
  <c r="L81"/>
  <c r="O80"/>
  <c r="N80"/>
  <c r="L80"/>
  <c r="M80"/>
  <c r="N79"/>
  <c r="O79"/>
  <c r="M79"/>
  <c r="L79"/>
  <c r="L78"/>
  <c r="O78"/>
  <c r="N78"/>
  <c r="M78"/>
  <c r="N77"/>
  <c r="M77"/>
  <c r="O77"/>
  <c r="L77"/>
  <c r="M76"/>
  <c r="O76"/>
  <c r="L76"/>
  <c r="N76"/>
  <c r="M75"/>
  <c r="N75"/>
  <c r="L75"/>
  <c r="O75"/>
  <c r="L74"/>
  <c r="O74"/>
  <c r="M74"/>
  <c r="N74"/>
  <c r="O73"/>
  <c r="N73"/>
  <c r="L73"/>
  <c r="M73"/>
  <c r="O72"/>
  <c r="N72"/>
  <c r="L72"/>
  <c r="M72"/>
  <c r="M71"/>
  <c r="L71"/>
  <c r="N71"/>
  <c r="O71"/>
  <c r="N70"/>
  <c r="L70"/>
  <c r="M70"/>
  <c r="O70"/>
  <c r="N69"/>
  <c r="O69"/>
  <c r="M69"/>
  <c r="L69"/>
  <c r="M68"/>
  <c r="O68"/>
  <c r="L68"/>
  <c r="N68"/>
  <c r="M67"/>
  <c r="N67"/>
  <c r="L67"/>
  <c r="O67"/>
  <c r="M66"/>
  <c r="L66"/>
  <c r="O66"/>
  <c r="N66"/>
  <c r="M65"/>
  <c r="O65"/>
  <c r="N65"/>
  <c r="L65"/>
  <c r="O64"/>
  <c r="N64"/>
  <c r="L64"/>
  <c r="M64"/>
  <c r="O63"/>
  <c r="N63"/>
  <c r="M63"/>
  <c r="L63"/>
  <c r="M62"/>
  <c r="L62"/>
  <c r="N62"/>
  <c r="O62"/>
  <c r="N61"/>
  <c r="L61"/>
  <c r="M61"/>
  <c r="O61"/>
  <c r="M60"/>
  <c r="O60"/>
  <c r="L60"/>
  <c r="N60"/>
  <c r="M59"/>
  <c r="N59"/>
  <c r="L59"/>
  <c r="O59"/>
  <c r="L58"/>
  <c r="O58"/>
  <c r="M58"/>
  <c r="N58"/>
  <c r="O57"/>
  <c r="N57"/>
  <c r="L57"/>
  <c r="M57"/>
  <c r="O56"/>
  <c r="N56"/>
  <c r="L56"/>
  <c r="M56"/>
  <c r="L55"/>
  <c r="N55"/>
  <c r="O55"/>
  <c r="M55"/>
  <c r="I128"/>
  <c r="M128" s="1"/>
  <c r="Q20" i="59" l="1"/>
  <c r="O20"/>
  <c r="M20"/>
  <c r="K20"/>
  <c r="I20"/>
  <c r="G20"/>
  <c r="U34" i="64"/>
  <c r="T34"/>
  <c r="S34"/>
  <c r="R34"/>
  <c r="Q34"/>
  <c r="O34"/>
  <c r="N34"/>
  <c r="M34"/>
  <c r="L34"/>
  <c r="K34"/>
  <c r="J34"/>
  <c r="AF62" i="52"/>
  <c r="AA62"/>
  <c r="AE62" s="1"/>
  <c r="V62"/>
  <c r="Z62" s="1"/>
  <c r="Q62"/>
  <c r="U62" s="1"/>
  <c r="L62"/>
  <c r="P62" s="1"/>
  <c r="AF39"/>
  <c r="AA39"/>
  <c r="V39"/>
  <c r="Q39"/>
  <c r="L39"/>
  <c r="E30"/>
  <c r="E29"/>
  <c r="E28"/>
  <c r="E27"/>
  <c r="V23" i="47"/>
  <c r="T23"/>
  <c r="R23"/>
  <c r="P23"/>
  <c r="N23"/>
  <c r="L23"/>
  <c r="AA22" i="46"/>
  <c r="W22"/>
  <c r="S22"/>
  <c r="O22"/>
  <c r="K22"/>
  <c r="G22"/>
  <c r="AP22" i="45"/>
  <c r="AI22"/>
  <c r="AB22"/>
  <c r="U22"/>
  <c r="N22"/>
  <c r="G22"/>
  <c r="K149" i="76"/>
  <c r="J149"/>
  <c r="B149"/>
  <c r="K148"/>
  <c r="J148"/>
  <c r="B148"/>
  <c r="S138"/>
  <c r="BE138" s="1"/>
  <c r="R138"/>
  <c r="BJ138" s="1"/>
  <c r="Q138"/>
  <c r="AW138" s="1"/>
  <c r="P138"/>
  <c r="BB138" s="1"/>
  <c r="O138"/>
  <c r="BM138" s="1"/>
  <c r="N138"/>
  <c r="AT138" s="1"/>
  <c r="K138"/>
  <c r="J138"/>
  <c r="B138"/>
  <c r="S137"/>
  <c r="BK137" s="1"/>
  <c r="R137"/>
  <c r="BJ137" s="1"/>
  <c r="Q137"/>
  <c r="BC137" s="1"/>
  <c r="P137"/>
  <c r="BB137" s="1"/>
  <c r="O137"/>
  <c r="BM137" s="1"/>
  <c r="N137"/>
  <c r="AT137" s="1"/>
  <c r="K137"/>
  <c r="J137"/>
  <c r="B137"/>
  <c r="S136"/>
  <c r="BK136" s="1"/>
  <c r="R136"/>
  <c r="BJ136" s="1"/>
  <c r="Q136"/>
  <c r="BC136" s="1"/>
  <c r="P136"/>
  <c r="AV136" s="1"/>
  <c r="O136"/>
  <c r="AU136" s="1"/>
  <c r="N136"/>
  <c r="BL136" s="1"/>
  <c r="K136"/>
  <c r="J136"/>
  <c r="B136"/>
  <c r="D165" i="58"/>
  <c r="D164"/>
  <c r="L154"/>
  <c r="J154"/>
  <c r="I154"/>
  <c r="G154"/>
  <c r="D154"/>
  <c r="K153"/>
  <c r="I153"/>
  <c r="H153"/>
  <c r="D153"/>
  <c r="I152"/>
  <c r="D152"/>
  <c r="D180" i="64"/>
  <c r="D179"/>
  <c r="D169"/>
  <c r="N168"/>
  <c r="K168"/>
  <c r="F168"/>
  <c r="D168"/>
  <c r="N167"/>
  <c r="M167"/>
  <c r="D167"/>
  <c r="F185" i="52"/>
  <c r="F165" i="58" s="1"/>
  <c r="F164"/>
  <c r="O169" i="64"/>
  <c r="K154" i="58"/>
  <c r="M169" i="64"/>
  <c r="L169"/>
  <c r="H154" i="58"/>
  <c r="J169" i="64"/>
  <c r="F154" i="58"/>
  <c r="O168" i="64"/>
  <c r="J153" i="58"/>
  <c r="L168" i="64"/>
  <c r="G153" i="58"/>
  <c r="F153"/>
  <c r="O167" i="64"/>
  <c r="K152" i="58"/>
  <c r="J152"/>
  <c r="L167" i="64"/>
  <c r="H152" i="58"/>
  <c r="G152"/>
  <c r="F152"/>
  <c r="L73" i="55"/>
  <c r="H169" i="64" s="1"/>
  <c r="K73" i="55"/>
  <c r="I73"/>
  <c r="H73"/>
  <c r="G73"/>
  <c r="L72"/>
  <c r="H168" i="64" s="1"/>
  <c r="K72" i="55"/>
  <c r="I72"/>
  <c r="H72"/>
  <c r="G72"/>
  <c r="L71"/>
  <c r="H167" i="64" s="1"/>
  <c r="K71" i="55"/>
  <c r="I71"/>
  <c r="H71"/>
  <c r="G71"/>
  <c r="L70"/>
  <c r="H166" i="64" s="1"/>
  <c r="K70" i="55"/>
  <c r="I70"/>
  <c r="H70"/>
  <c r="G70"/>
  <c r="K43" i="66"/>
  <c r="K42"/>
  <c r="K40"/>
  <c r="K38"/>
  <c r="O24"/>
  <c r="N24"/>
  <c r="M24"/>
  <c r="L24"/>
  <c r="K24"/>
  <c r="O22"/>
  <c r="N22"/>
  <c r="M22"/>
  <c r="L22"/>
  <c r="K22"/>
  <c r="O21"/>
  <c r="N21"/>
  <c r="M21"/>
  <c r="L21"/>
  <c r="K21"/>
  <c r="O20"/>
  <c r="N20"/>
  <c r="M20"/>
  <c r="L20"/>
  <c r="K20"/>
  <c r="L43" i="55"/>
  <c r="K43"/>
  <c r="I43"/>
  <c r="H43"/>
  <c r="G43"/>
  <c r="L41"/>
  <c r="K41"/>
  <c r="I41"/>
  <c r="H41"/>
  <c r="G41"/>
  <c r="L40"/>
  <c r="K40"/>
  <c r="I40"/>
  <c r="H40"/>
  <c r="G40"/>
  <c r="AJ62" i="52" l="1"/>
  <c r="AI62"/>
  <c r="O184"/>
  <c r="Y62"/>
  <c r="D148" i="76"/>
  <c r="N148" s="1"/>
  <c r="AT148" s="1"/>
  <c r="AK184" i="52"/>
  <c r="X184" s="1"/>
  <c r="Z184" s="1"/>
  <c r="T62"/>
  <c r="K185"/>
  <c r="AK185"/>
  <c r="AC185" s="1"/>
  <c r="AE185" s="1"/>
  <c r="O62"/>
  <c r="AK62"/>
  <c r="AD184"/>
  <c r="T185"/>
  <c r="O185"/>
  <c r="AD62"/>
  <c r="L164" i="58"/>
  <c r="M180" i="64"/>
  <c r="Y185" i="52"/>
  <c r="N180" i="64"/>
  <c r="AD185" i="52"/>
  <c r="I164" i="58"/>
  <c r="T184" i="52"/>
  <c r="J164" i="58"/>
  <c r="Y184" i="52"/>
  <c r="K179" i="64"/>
  <c r="Q179" s="1"/>
  <c r="K180"/>
  <c r="BD138" i="76"/>
  <c r="J180" i="64"/>
  <c r="F148" i="76"/>
  <c r="P148" s="1"/>
  <c r="BB148" s="1"/>
  <c r="L179" i="64"/>
  <c r="I148" i="76"/>
  <c r="S148" s="1"/>
  <c r="BE148" s="1"/>
  <c r="O179" i="64"/>
  <c r="G148" i="76"/>
  <c r="Q148" s="1"/>
  <c r="BC148" s="1"/>
  <c r="J179" i="64"/>
  <c r="M72" i="55"/>
  <c r="G168" i="64" s="1"/>
  <c r="M70" i="55"/>
  <c r="G166" i="64" s="1"/>
  <c r="M73" i="55"/>
  <c r="G169" i="64" s="1"/>
  <c r="M71" i="55"/>
  <c r="G167" i="64" s="1"/>
  <c r="F167"/>
  <c r="M168"/>
  <c r="N179"/>
  <c r="T179" s="1"/>
  <c r="O180"/>
  <c r="G164" i="58"/>
  <c r="H165"/>
  <c r="AK137" i="76"/>
  <c r="E149"/>
  <c r="O149" s="1"/>
  <c r="AU149" s="1"/>
  <c r="K184" i="52"/>
  <c r="M179" i="64"/>
  <c r="L152" i="58"/>
  <c r="L153"/>
  <c r="G165"/>
  <c r="AB137" i="76"/>
  <c r="E148"/>
  <c r="O148" s="1"/>
  <c r="BG148" s="1"/>
  <c r="D149"/>
  <c r="N149" s="1"/>
  <c r="AT149" s="1"/>
  <c r="N169" i="64"/>
  <c r="H164" i="58"/>
  <c r="I165"/>
  <c r="F149" i="76"/>
  <c r="P149" s="1"/>
  <c r="BB149" s="1"/>
  <c r="K167" i="64"/>
  <c r="K169"/>
  <c r="J167"/>
  <c r="J168"/>
  <c r="L180"/>
  <c r="F169"/>
  <c r="K164" i="58"/>
  <c r="L165"/>
  <c r="I149" i="76"/>
  <c r="S149" s="1"/>
  <c r="BE149" s="1"/>
  <c r="K165" i="58"/>
  <c r="AF138" i="76"/>
  <c r="H149"/>
  <c r="R149" s="1"/>
  <c r="BP149" s="1"/>
  <c r="J165" i="58"/>
  <c r="W138" i="76"/>
  <c r="H148"/>
  <c r="R148" s="1"/>
  <c r="AF148" s="1"/>
  <c r="G149"/>
  <c r="Q149" s="1"/>
  <c r="BC149" s="1"/>
  <c r="F179" i="64"/>
  <c r="F180"/>
  <c r="BI138" i="76"/>
  <c r="BA138"/>
  <c r="AE138"/>
  <c r="AZ137"/>
  <c r="AJ137"/>
  <c r="AH137"/>
  <c r="AC138"/>
  <c r="BC138"/>
  <c r="AU138"/>
  <c r="W137"/>
  <c r="BF136"/>
  <c r="BA137"/>
  <c r="AM138"/>
  <c r="X138"/>
  <c r="AV138"/>
  <c r="AH136"/>
  <c r="AK138"/>
  <c r="BK138"/>
  <c r="AS138"/>
  <c r="AJ136"/>
  <c r="BI137"/>
  <c r="AB138"/>
  <c r="AJ138"/>
  <c r="AR138"/>
  <c r="AZ138"/>
  <c r="BH138"/>
  <c r="BP138"/>
  <c r="AI136"/>
  <c r="AI137"/>
  <c r="BH137"/>
  <c r="AA138"/>
  <c r="AI138"/>
  <c r="AQ138"/>
  <c r="AY138"/>
  <c r="BG138"/>
  <c r="BO138"/>
  <c r="AN138"/>
  <c r="BL138"/>
  <c r="BQ138"/>
  <c r="BG137"/>
  <c r="Z138"/>
  <c r="AH138"/>
  <c r="AP138"/>
  <c r="AX138"/>
  <c r="BF138"/>
  <c r="BN138"/>
  <c r="AG136"/>
  <c r="AC137"/>
  <c r="BF137"/>
  <c r="Y138"/>
  <c r="AG138"/>
  <c r="AO138"/>
  <c r="AU137"/>
  <c r="V138"/>
  <c r="AD138"/>
  <c r="AL138"/>
  <c r="AS137"/>
  <c r="AR137"/>
  <c r="AY137"/>
  <c r="Z137"/>
  <c r="AP137"/>
  <c r="AX137"/>
  <c r="BN137"/>
  <c r="AB136"/>
  <c r="BE136"/>
  <c r="Y137"/>
  <c r="AG137"/>
  <c r="AO137"/>
  <c r="AW137"/>
  <c r="BE137"/>
  <c r="AA137"/>
  <c r="AQ137"/>
  <c r="AA136"/>
  <c r="BB136"/>
  <c r="X137"/>
  <c r="AF137"/>
  <c r="AN137"/>
  <c r="AV137"/>
  <c r="BD137"/>
  <c r="BL137"/>
  <c r="BQ137"/>
  <c r="BH136"/>
  <c r="BG136"/>
  <c r="BO137"/>
  <c r="AZ136"/>
  <c r="AE137"/>
  <c r="AM137"/>
  <c r="BP137"/>
  <c r="AY136"/>
  <c r="V137"/>
  <c r="AD137"/>
  <c r="AL137"/>
  <c r="AQ136"/>
  <c r="Z136"/>
  <c r="AP136"/>
  <c r="AX136"/>
  <c r="BN136"/>
  <c r="AO136"/>
  <c r="BM136"/>
  <c r="V136"/>
  <c r="AD136"/>
  <c r="AL136"/>
  <c r="AT136"/>
  <c r="AC136"/>
  <c r="AK136"/>
  <c r="AS136"/>
  <c r="BA136"/>
  <c r="BI136"/>
  <c r="BQ136"/>
  <c r="AR136"/>
  <c r="BP136"/>
  <c r="BO136"/>
  <c r="Y136"/>
  <c r="AW136"/>
  <c r="X136"/>
  <c r="AF136"/>
  <c r="AN136"/>
  <c r="BD136"/>
  <c r="W136"/>
  <c r="AE136"/>
  <c r="AM136"/>
  <c r="BL156"/>
  <c r="BF156"/>
  <c r="AZ156"/>
  <c r="AT156"/>
  <c r="AN156"/>
  <c r="AH156"/>
  <c r="AB156"/>
  <c r="V156"/>
  <c r="K154"/>
  <c r="J154"/>
  <c r="B154"/>
  <c r="K153"/>
  <c r="J153"/>
  <c r="B153"/>
  <c r="K152"/>
  <c r="J152"/>
  <c r="B152"/>
  <c r="K151"/>
  <c r="J151"/>
  <c r="B151"/>
  <c r="K150"/>
  <c r="J150"/>
  <c r="B150"/>
  <c r="K147"/>
  <c r="J147"/>
  <c r="B147"/>
  <c r="K146"/>
  <c r="J146"/>
  <c r="B146"/>
  <c r="A145"/>
  <c r="K144"/>
  <c r="J144"/>
  <c r="B144"/>
  <c r="K143"/>
  <c r="J143"/>
  <c r="B143"/>
  <c r="K142"/>
  <c r="J142"/>
  <c r="B142"/>
  <c r="K141"/>
  <c r="J141"/>
  <c r="B141"/>
  <c r="K140"/>
  <c r="J140"/>
  <c r="B140"/>
  <c r="K139"/>
  <c r="J139"/>
  <c r="B139"/>
  <c r="S179" i="64" l="1"/>
  <c r="U179"/>
  <c r="R179"/>
  <c r="Q169"/>
  <c r="R169"/>
  <c r="S169"/>
  <c r="T169"/>
  <c r="U169"/>
  <c r="Q167"/>
  <c r="T167"/>
  <c r="U167"/>
  <c r="R167"/>
  <c r="S167"/>
  <c r="T168"/>
  <c r="R168"/>
  <c r="U168"/>
  <c r="Q168"/>
  <c r="S168"/>
  <c r="BF148" i="76"/>
  <c r="S62" i="52"/>
  <c r="X62"/>
  <c r="AC62"/>
  <c r="N62"/>
  <c r="J62"/>
  <c r="AH62"/>
  <c r="AN148" i="76"/>
  <c r="N185" i="52"/>
  <c r="P185" s="1"/>
  <c r="AZ148" i="76"/>
  <c r="BL148"/>
  <c r="J184" i="52"/>
  <c r="AH148" i="76"/>
  <c r="AB148"/>
  <c r="AH185" i="52"/>
  <c r="AJ185" s="1"/>
  <c r="S184"/>
  <c r="U184" s="1"/>
  <c r="X185"/>
  <c r="Z185" s="1"/>
  <c r="V148" i="76"/>
  <c r="S185" i="52"/>
  <c r="U185" s="1"/>
  <c r="AH184"/>
  <c r="AJ184" s="1"/>
  <c r="N184"/>
  <c r="P184" s="1"/>
  <c r="AC184"/>
  <c r="AE184" s="1"/>
  <c r="J185"/>
  <c r="AB149" i="76"/>
  <c r="AG148"/>
  <c r="AY148"/>
  <c r="Y148"/>
  <c r="BN148"/>
  <c r="AD148"/>
  <c r="X148"/>
  <c r="AP148"/>
  <c r="AE148"/>
  <c r="AV148"/>
  <c r="BO148"/>
  <c r="BI148"/>
  <c r="BH148"/>
  <c r="AJ148"/>
  <c r="AQ148"/>
  <c r="BQ148"/>
  <c r="AS148"/>
  <c r="AK148"/>
  <c r="Z148"/>
  <c r="BK148"/>
  <c r="AW148"/>
  <c r="AF149"/>
  <c r="AA148"/>
  <c r="AM148"/>
  <c r="AR149"/>
  <c r="BQ149"/>
  <c r="BJ149"/>
  <c r="AL149"/>
  <c r="BD149"/>
  <c r="AD149"/>
  <c r="BA148"/>
  <c r="V149"/>
  <c r="BF149"/>
  <c r="AG149"/>
  <c r="BK149"/>
  <c r="AY149"/>
  <c r="BP148"/>
  <c r="BJ148"/>
  <c r="AX148"/>
  <c r="AX149"/>
  <c r="Z149"/>
  <c r="BO149"/>
  <c r="AQ149"/>
  <c r="BI149"/>
  <c r="AK149"/>
  <c r="AE149"/>
  <c r="AW149"/>
  <c r="Y149"/>
  <c r="W149"/>
  <c r="AU148"/>
  <c r="AO148"/>
  <c r="AI148"/>
  <c r="BL149"/>
  <c r="AN149"/>
  <c r="AH149"/>
  <c r="AZ149"/>
  <c r="BM149"/>
  <c r="BN149"/>
  <c r="AC148"/>
  <c r="AR148"/>
  <c r="AO149"/>
  <c r="AP149"/>
  <c r="AM149"/>
  <c r="BG149"/>
  <c r="AV149"/>
  <c r="W148"/>
  <c r="AL148"/>
  <c r="AI149"/>
  <c r="X149"/>
  <c r="AA149"/>
  <c r="BM148"/>
  <c r="BD148"/>
  <c r="AC149"/>
  <c r="AJ149"/>
  <c r="AS149"/>
  <c r="BA149"/>
  <c r="BH149"/>
  <c r="BN175"/>
  <c r="BQ175"/>
  <c r="BL175"/>
  <c r="BO175"/>
  <c r="BP175"/>
  <c r="BM175"/>
  <c r="BK175"/>
  <c r="BE175"/>
  <c r="AS175"/>
  <c r="AY175"/>
  <c r="AM175"/>
  <c r="AG175"/>
  <c r="AA175"/>
  <c r="S135"/>
  <c r="BQ135" s="1"/>
  <c r="R135"/>
  <c r="AL135" s="1"/>
  <c r="Q135"/>
  <c r="AK135" s="1"/>
  <c r="P135"/>
  <c r="AJ135" s="1"/>
  <c r="O135"/>
  <c r="N135"/>
  <c r="V135" s="1"/>
  <c r="K135"/>
  <c r="J135"/>
  <c r="B135"/>
  <c r="A134"/>
  <c r="K133"/>
  <c r="J133"/>
  <c r="B133"/>
  <c r="K132"/>
  <c r="J132"/>
  <c r="B132"/>
  <c r="K131"/>
  <c r="J131"/>
  <c r="B131"/>
  <c r="K130"/>
  <c r="J130"/>
  <c r="B130"/>
  <c r="A129"/>
  <c r="A128"/>
  <c r="K126"/>
  <c r="J126"/>
  <c r="B126"/>
  <c r="K125"/>
  <c r="J125"/>
  <c r="B125"/>
  <c r="K124"/>
  <c r="J124"/>
  <c r="B124"/>
  <c r="K123"/>
  <c r="J123"/>
  <c r="B123"/>
  <c r="A122"/>
  <c r="K121"/>
  <c r="J121"/>
  <c r="B121"/>
  <c r="K120"/>
  <c r="J120"/>
  <c r="B120"/>
  <c r="K119"/>
  <c r="J119"/>
  <c r="B119"/>
  <c r="Q36" i="59"/>
  <c r="Q40"/>
  <c r="M43"/>
  <c r="Q42"/>
  <c r="Q41"/>
  <c r="Q37"/>
  <c r="G43"/>
  <c r="Q38"/>
  <c r="O43"/>
  <c r="Q43"/>
  <c r="K43"/>
  <c r="Q39"/>
  <c r="I43"/>
  <c r="Q28" l="1"/>
  <c r="Q32"/>
  <c r="Q26"/>
  <c r="Q30"/>
  <c r="Q29"/>
  <c r="Q25"/>
  <c r="Q27"/>
  <c r="Q31"/>
  <c r="O32"/>
  <c r="M32"/>
  <c r="K32"/>
  <c r="I32"/>
  <c r="G32"/>
  <c r="R43"/>
  <c r="P43"/>
  <c r="N43"/>
  <c r="L43"/>
  <c r="J43"/>
  <c r="H43"/>
  <c r="AM135" i="76"/>
  <c r="AG135"/>
  <c r="AI135"/>
  <c r="AD135"/>
  <c r="X135"/>
  <c r="AF135"/>
  <c r="AE135"/>
  <c r="Y135"/>
  <c r="BP135"/>
  <c r="BM135"/>
  <c r="BG135"/>
  <c r="AO135"/>
  <c r="BA135"/>
  <c r="AU135"/>
  <c r="AT135" s="1"/>
  <c r="BL135"/>
  <c r="BF135"/>
  <c r="AZ135"/>
  <c r="AN135"/>
  <c r="W135"/>
  <c r="BD135"/>
  <c r="AX135"/>
  <c r="AR135"/>
  <c r="AQ135" s="1"/>
  <c r="AP135" s="1"/>
  <c r="BJ135"/>
  <c r="AC135"/>
  <c r="AB135"/>
  <c r="AS135"/>
  <c r="BE135"/>
  <c r="AY135"/>
  <c r="BK135"/>
  <c r="BO135"/>
  <c r="BC135"/>
  <c r="BI135"/>
  <c r="AW135"/>
  <c r="AA135"/>
  <c r="AV135"/>
  <c r="BN135"/>
  <c r="BH135"/>
  <c r="BB135"/>
  <c r="Z135"/>
  <c r="AH135"/>
  <c r="K118"/>
  <c r="J118"/>
  <c r="B118"/>
  <c r="A117"/>
  <c r="B116"/>
  <c r="B115"/>
  <c r="B114"/>
  <c r="B113"/>
  <c r="A112"/>
  <c r="K111"/>
  <c r="J111"/>
  <c r="B111"/>
  <c r="K110"/>
  <c r="J110"/>
  <c r="B110"/>
  <c r="K109" l="1"/>
  <c r="J109"/>
  <c r="B109"/>
  <c r="K108"/>
  <c r="J108"/>
  <c r="B108"/>
  <c r="A107"/>
  <c r="K106"/>
  <c r="J106"/>
  <c r="B106"/>
  <c r="K105"/>
  <c r="J105"/>
  <c r="B105"/>
  <c r="K104"/>
  <c r="J104"/>
  <c r="B104"/>
  <c r="K103"/>
  <c r="J103"/>
  <c r="B103"/>
  <c r="A102"/>
  <c r="K101"/>
  <c r="J101"/>
  <c r="K100"/>
  <c r="J100"/>
  <c r="K99"/>
  <c r="J99"/>
  <c r="K98"/>
  <c r="J98"/>
  <c r="K96"/>
  <c r="J96"/>
  <c r="K95"/>
  <c r="J95"/>
  <c r="B95"/>
  <c r="K94"/>
  <c r="J94"/>
  <c r="B94"/>
  <c r="K93"/>
  <c r="J93"/>
  <c r="B93"/>
  <c r="A92"/>
  <c r="K91"/>
  <c r="J91"/>
  <c r="B91"/>
  <c r="K90"/>
  <c r="J90"/>
  <c r="B90"/>
  <c r="K89"/>
  <c r="J89"/>
  <c r="B89"/>
  <c r="K88"/>
  <c r="J88"/>
  <c r="B88"/>
  <c r="A87"/>
  <c r="K86"/>
  <c r="J86"/>
  <c r="B86"/>
  <c r="K85"/>
  <c r="J85"/>
  <c r="B85"/>
  <c r="K84"/>
  <c r="J84"/>
  <c r="B84"/>
  <c r="K83"/>
  <c r="J83"/>
  <c r="B83"/>
  <c r="A82"/>
  <c r="K81"/>
  <c r="J81"/>
  <c r="B81"/>
  <c r="K80"/>
  <c r="J80"/>
  <c r="B80"/>
  <c r="K79"/>
  <c r="J79"/>
  <c r="B79"/>
  <c r="K78" l="1"/>
  <c r="J78"/>
  <c r="B78"/>
  <c r="A77"/>
  <c r="K76"/>
  <c r="J76"/>
  <c r="B76"/>
  <c r="K75"/>
  <c r="J75"/>
  <c r="B75"/>
  <c r="K74"/>
  <c r="J74"/>
  <c r="B74"/>
  <c r="K73"/>
  <c r="J73"/>
  <c r="B73"/>
  <c r="A72"/>
  <c r="K71"/>
  <c r="J71"/>
  <c r="B71"/>
  <c r="K70"/>
  <c r="J70"/>
  <c r="B70"/>
  <c r="K69"/>
  <c r="J69"/>
  <c r="B69"/>
  <c r="K68"/>
  <c r="J68"/>
  <c r="B68"/>
  <c r="A67"/>
  <c r="A66"/>
  <c r="K64" l="1"/>
  <c r="J64"/>
  <c r="B64"/>
  <c r="K63"/>
  <c r="J63"/>
  <c r="B63"/>
  <c r="K62"/>
  <c r="J62"/>
  <c r="B62"/>
  <c r="K61"/>
  <c r="J61"/>
  <c r="K60"/>
  <c r="J60"/>
  <c r="B60"/>
  <c r="K59"/>
  <c r="J59"/>
  <c r="B59"/>
  <c r="K58" l="1"/>
  <c r="J58"/>
  <c r="B58"/>
  <c r="BP57"/>
  <c r="BO57"/>
  <c r="BN57"/>
  <c r="BL57"/>
  <c r="BJ57" l="1"/>
  <c r="BI57"/>
  <c r="BH57"/>
  <c r="BF57"/>
  <c r="BD57"/>
  <c r="BC57"/>
  <c r="BB57"/>
  <c r="AZ57"/>
  <c r="AY57"/>
  <c r="AX57"/>
  <c r="AW57"/>
  <c r="AV57"/>
  <c r="AT57"/>
  <c r="AS57"/>
  <c r="AR57"/>
  <c r="AQ57"/>
  <c r="AP57"/>
  <c r="AN57"/>
  <c r="AM57"/>
  <c r="AL57"/>
  <c r="AK57"/>
  <c r="AJ57"/>
  <c r="AH57"/>
  <c r="AG57"/>
  <c r="AF57"/>
  <c r="AE57"/>
  <c r="AD57"/>
  <c r="AB57"/>
  <c r="AA57"/>
  <c r="Z57"/>
  <c r="BQ57" s="1"/>
  <c r="Y57"/>
  <c r="BK57" s="1"/>
  <c r="X57"/>
  <c r="V57"/>
  <c r="A57"/>
  <c r="BE57" l="1"/>
  <c r="K56"/>
  <c r="J56"/>
  <c r="B56"/>
  <c r="K55"/>
  <c r="J55"/>
  <c r="B55"/>
  <c r="K54"/>
  <c r="J54"/>
  <c r="B54"/>
  <c r="K53"/>
  <c r="J53"/>
  <c r="K52"/>
  <c r="J52"/>
  <c r="B52"/>
  <c r="K51"/>
  <c r="J51"/>
  <c r="B51"/>
  <c r="K50"/>
  <c r="J50"/>
  <c r="B50"/>
  <c r="BP49"/>
  <c r="BO49"/>
  <c r="BN49"/>
  <c r="BL49"/>
  <c r="BJ49" l="1"/>
  <c r="BI49"/>
  <c r="BH49"/>
  <c r="BF49"/>
  <c r="BD49"/>
  <c r="BC49"/>
  <c r="BB49"/>
  <c r="AZ49"/>
  <c r="AY49"/>
  <c r="AX49"/>
  <c r="AW49"/>
  <c r="AV49"/>
  <c r="AT49"/>
  <c r="AS49"/>
  <c r="AR49"/>
  <c r="AQ49"/>
  <c r="AP49"/>
  <c r="AN49"/>
  <c r="AM49"/>
  <c r="AL49"/>
  <c r="AK49"/>
  <c r="AJ49"/>
  <c r="AH49"/>
  <c r="AG49"/>
  <c r="AF49"/>
  <c r="AE49"/>
  <c r="AD49"/>
  <c r="AB49"/>
  <c r="AA49"/>
  <c r="Z49"/>
  <c r="BQ49" s="1"/>
  <c r="Y49"/>
  <c r="BK49" s="1"/>
  <c r="X49"/>
  <c r="V49"/>
  <c r="A49"/>
  <c r="K48"/>
  <c r="J48"/>
  <c r="B48"/>
  <c r="K47"/>
  <c r="J47"/>
  <c r="B47"/>
  <c r="K46"/>
  <c r="J46"/>
  <c r="B46"/>
  <c r="K45"/>
  <c r="J45"/>
  <c r="K44"/>
  <c r="J44"/>
  <c r="B44"/>
  <c r="K43"/>
  <c r="J43"/>
  <c r="B43"/>
  <c r="K42"/>
  <c r="J42"/>
  <c r="B42"/>
  <c r="BP41"/>
  <c r="BO41"/>
  <c r="BN41"/>
  <c r="BL41"/>
  <c r="BJ41"/>
  <c r="BI41"/>
  <c r="BH41"/>
  <c r="BF41"/>
  <c r="BD41"/>
  <c r="BC41"/>
  <c r="BB41"/>
  <c r="AZ41"/>
  <c r="AY41"/>
  <c r="AX41"/>
  <c r="AW41"/>
  <c r="AV41"/>
  <c r="AT41"/>
  <c r="AS41"/>
  <c r="AR41"/>
  <c r="AQ41"/>
  <c r="AP41"/>
  <c r="AN41"/>
  <c r="AM41"/>
  <c r="AL41"/>
  <c r="AK41"/>
  <c r="AJ41"/>
  <c r="AH41"/>
  <c r="AG41"/>
  <c r="AF41"/>
  <c r="AE41"/>
  <c r="AD41"/>
  <c r="AB41"/>
  <c r="AA41"/>
  <c r="Z41"/>
  <c r="Y41"/>
  <c r="BK41" s="1"/>
  <c r="X41"/>
  <c r="V41"/>
  <c r="A41"/>
  <c r="K40"/>
  <c r="J40"/>
  <c r="B40"/>
  <c r="K39"/>
  <c r="J39"/>
  <c r="B39"/>
  <c r="K38"/>
  <c r="J38"/>
  <c r="B38"/>
  <c r="BQ41" l="1"/>
  <c r="BE41"/>
  <c r="BE49"/>
  <c r="K37"/>
  <c r="J37"/>
  <c r="K36"/>
  <c r="J36"/>
  <c r="B36"/>
  <c r="K35"/>
  <c r="J35"/>
  <c r="B35"/>
  <c r="K34"/>
  <c r="J34"/>
  <c r="B34"/>
  <c r="A33"/>
  <c r="K32"/>
  <c r="J32"/>
  <c r="B32"/>
  <c r="K31"/>
  <c r="J31"/>
  <c r="B31"/>
  <c r="K30"/>
  <c r="J30"/>
  <c r="B30"/>
  <c r="K29"/>
  <c r="J29"/>
  <c r="K28"/>
  <c r="J28"/>
  <c r="B28"/>
  <c r="K27"/>
  <c r="J27"/>
  <c r="B27"/>
  <c r="K26"/>
  <c r="J26"/>
  <c r="B26"/>
  <c r="BP25"/>
  <c r="BO25"/>
  <c r="BN25"/>
  <c r="BL25"/>
  <c r="BJ25" l="1"/>
  <c r="BI25"/>
  <c r="BH25"/>
  <c r="BF25"/>
  <c r="BD25"/>
  <c r="BC25"/>
  <c r="BB25"/>
  <c r="AZ25"/>
  <c r="AY25"/>
  <c r="AX25"/>
  <c r="AW25"/>
  <c r="AV25"/>
  <c r="AT25"/>
  <c r="AS25"/>
  <c r="AR25"/>
  <c r="AQ25"/>
  <c r="AP25"/>
  <c r="AN25"/>
  <c r="AM25"/>
  <c r="AL25"/>
  <c r="AK25"/>
  <c r="AJ25"/>
  <c r="AH25"/>
  <c r="AG25"/>
  <c r="AF25"/>
  <c r="AE25"/>
  <c r="AD25"/>
  <c r="AB25"/>
  <c r="AA25"/>
  <c r="Z25"/>
  <c r="BQ25" s="1"/>
  <c r="Y25"/>
  <c r="BK25" s="1"/>
  <c r="X25"/>
  <c r="BE25" s="1"/>
  <c r="V25"/>
  <c r="A25"/>
  <c r="K24"/>
  <c r="J24"/>
  <c r="B24"/>
  <c r="K23"/>
  <c r="J23"/>
  <c r="B23"/>
  <c r="K22"/>
  <c r="J22"/>
  <c r="B22"/>
  <c r="K21"/>
  <c r="J21"/>
  <c r="K20"/>
  <c r="J20"/>
  <c r="B20"/>
  <c r="K19"/>
  <c r="J19"/>
  <c r="B19"/>
  <c r="K18"/>
  <c r="J18"/>
  <c r="B18"/>
  <c r="A17" l="1"/>
  <c r="B16"/>
  <c r="B15"/>
  <c r="B14"/>
  <c r="B12"/>
  <c r="K11"/>
  <c r="J11"/>
  <c r="B11"/>
  <c r="K10"/>
  <c r="J10"/>
  <c r="B10"/>
  <c r="A9"/>
  <c r="A8"/>
  <c r="K6" l="1"/>
  <c r="J6"/>
  <c r="I6"/>
  <c r="K5" l="1"/>
  <c r="J5"/>
  <c r="D5"/>
  <c r="F32" i="59" l="1"/>
  <c r="F31"/>
  <c r="F30"/>
  <c r="F41" s="1"/>
  <c r="F29"/>
  <c r="F40" s="1"/>
  <c r="F28"/>
  <c r="F27"/>
  <c r="F26"/>
  <c r="F42" l="1"/>
  <c r="F53" s="1"/>
  <c r="F43"/>
  <c r="F54" s="1"/>
  <c r="F65" s="1"/>
  <c r="F76" s="1"/>
  <c r="F87" s="1"/>
  <c r="F98" s="1"/>
  <c r="F109" s="1"/>
  <c r="F25"/>
  <c r="Q19" l="1"/>
  <c r="O19"/>
  <c r="M19"/>
  <c r="K19"/>
  <c r="I19"/>
  <c r="G19"/>
  <c r="D170" i="58"/>
  <c r="D169"/>
  <c r="D168"/>
  <c r="D167"/>
  <c r="D166"/>
  <c r="D163"/>
  <c r="D162"/>
  <c r="C161"/>
  <c r="D160"/>
  <c r="D159"/>
  <c r="D158"/>
  <c r="D157"/>
  <c r="D156"/>
  <c r="D155"/>
  <c r="D151"/>
  <c r="C150"/>
  <c r="D149"/>
  <c r="D148"/>
  <c r="D147"/>
  <c r="D146"/>
  <c r="C145"/>
  <c r="C144"/>
  <c r="D142"/>
  <c r="D141"/>
  <c r="D140"/>
  <c r="F139"/>
  <c r="D139"/>
  <c r="C138"/>
  <c r="D137"/>
  <c r="D136"/>
  <c r="D135"/>
  <c r="F134"/>
  <c r="D134"/>
  <c r="C133"/>
  <c r="D132"/>
  <c r="D131"/>
  <c r="D130"/>
  <c r="F129"/>
  <c r="D129"/>
  <c r="C128"/>
  <c r="D127"/>
  <c r="D126"/>
  <c r="D125"/>
  <c r="F124"/>
  <c r="D124"/>
  <c r="C123"/>
  <c r="D122"/>
  <c r="D121"/>
  <c r="D120"/>
  <c r="F119"/>
  <c r="D119"/>
  <c r="C118"/>
  <c r="D111"/>
  <c r="D110"/>
  <c r="F109"/>
  <c r="D109"/>
  <c r="C108"/>
  <c r="D107"/>
  <c r="D106"/>
  <c r="D105"/>
  <c r="F104"/>
  <c r="D104"/>
  <c r="C103"/>
  <c r="D102"/>
  <c r="D101"/>
  <c r="D100"/>
  <c r="F99"/>
  <c r="D99"/>
  <c r="C98"/>
  <c r="D97"/>
  <c r="D96"/>
  <c r="D95"/>
  <c r="F94"/>
  <c r="D94"/>
  <c r="C93"/>
  <c r="D92"/>
  <c r="D91"/>
  <c r="D90"/>
  <c r="F89"/>
  <c r="D89"/>
  <c r="C88"/>
  <c r="D87"/>
  <c r="D86"/>
  <c r="D85"/>
  <c r="F84"/>
  <c r="D84"/>
  <c r="C83"/>
  <c r="C82"/>
  <c r="D80"/>
  <c r="D79"/>
  <c r="D78"/>
  <c r="D77"/>
  <c r="D76"/>
  <c r="D75"/>
  <c r="F74"/>
  <c r="D74"/>
  <c r="C73"/>
  <c r="D72"/>
  <c r="D71"/>
  <c r="D70"/>
  <c r="D69"/>
  <c r="D68"/>
  <c r="D67"/>
  <c r="F66"/>
  <c r="D66"/>
  <c r="C65"/>
  <c r="D64"/>
  <c r="D63"/>
  <c r="D62"/>
  <c r="D61"/>
  <c r="D60"/>
  <c r="D59"/>
  <c r="F58"/>
  <c r="D58"/>
  <c r="C57"/>
  <c r="D56"/>
  <c r="D55"/>
  <c r="D54"/>
  <c r="D52"/>
  <c r="D51"/>
  <c r="F50"/>
  <c r="D50"/>
  <c r="C49"/>
  <c r="D48"/>
  <c r="D47"/>
  <c r="D46"/>
  <c r="D45"/>
  <c r="D44"/>
  <c r="D43"/>
  <c r="F42"/>
  <c r="D42"/>
  <c r="C41"/>
  <c r="D40"/>
  <c r="D39"/>
  <c r="D38"/>
  <c r="D37"/>
  <c r="D36"/>
  <c r="D35"/>
  <c r="F34"/>
  <c r="D34"/>
  <c r="C33"/>
  <c r="D32"/>
  <c r="D31"/>
  <c r="D30"/>
  <c r="D29"/>
  <c r="D28"/>
  <c r="D27"/>
  <c r="F26"/>
  <c r="D26"/>
  <c r="C25"/>
  <c r="C24"/>
  <c r="C22"/>
  <c r="C21"/>
  <c r="K48" i="66"/>
  <c r="K47"/>
  <c r="K46"/>
  <c r="K41"/>
  <c r="K39"/>
  <c r="K37"/>
  <c r="M27"/>
  <c r="K26"/>
  <c r="O19"/>
  <c r="N19"/>
  <c r="M19"/>
  <c r="L19"/>
  <c r="K19"/>
  <c r="O18"/>
  <c r="N18"/>
  <c r="M18"/>
  <c r="L18"/>
  <c r="K18"/>
  <c r="M14"/>
  <c r="L27" l="1"/>
  <c r="N27"/>
  <c r="O27"/>
  <c r="K27"/>
  <c r="M48"/>
  <c r="N48"/>
  <c r="O48"/>
  <c r="L48"/>
  <c r="O47"/>
  <c r="L47"/>
  <c r="N47"/>
  <c r="M47"/>
  <c r="M40" i="55"/>
  <c r="M43"/>
  <c r="M41"/>
  <c r="K13" i="66"/>
  <c r="K12"/>
  <c r="M11"/>
  <c r="K10"/>
  <c r="M9"/>
  <c r="K8"/>
  <c r="M7"/>
  <c r="K6"/>
  <c r="M5"/>
  <c r="K4"/>
  <c r="D185" i="64"/>
  <c r="D184"/>
  <c r="D183"/>
  <c r="D182"/>
  <c r="D181"/>
  <c r="D178"/>
  <c r="D177"/>
  <c r="C176"/>
  <c r="D175"/>
  <c r="D174"/>
  <c r="D173"/>
  <c r="D172"/>
  <c r="D171"/>
  <c r="D170"/>
  <c r="D166"/>
  <c r="C165"/>
  <c r="D164"/>
  <c r="D163"/>
  <c r="D162"/>
  <c r="D161"/>
  <c r="C160"/>
  <c r="D157"/>
  <c r="D156"/>
  <c r="D155"/>
  <c r="F154"/>
  <c r="D154"/>
  <c r="C153"/>
  <c r="D152"/>
  <c r="D151"/>
  <c r="D150"/>
  <c r="F149"/>
  <c r="D149"/>
  <c r="C148"/>
  <c r="D147"/>
  <c r="D146"/>
  <c r="D145"/>
  <c r="F144"/>
  <c r="D144"/>
  <c r="C143"/>
  <c r="D142"/>
  <c r="D141"/>
  <c r="D140"/>
  <c r="F139"/>
  <c r="D139"/>
  <c r="C138"/>
  <c r="D137"/>
  <c r="D136"/>
  <c r="D135"/>
  <c r="F134"/>
  <c r="D134"/>
  <c r="C133"/>
  <c r="D126"/>
  <c r="D125"/>
  <c r="F124"/>
  <c r="D124"/>
  <c r="C123"/>
  <c r="D122"/>
  <c r="D121"/>
  <c r="D120"/>
  <c r="F119"/>
  <c r="D119"/>
  <c r="C118"/>
  <c r="D117"/>
  <c r="D116"/>
  <c r="D115"/>
  <c r="F114"/>
  <c r="D114"/>
  <c r="C113"/>
  <c r="D112"/>
  <c r="D111"/>
  <c r="D110"/>
  <c r="D109"/>
  <c r="C108"/>
  <c r="D107"/>
  <c r="D106"/>
  <c r="D105"/>
  <c r="F104"/>
  <c r="D104"/>
  <c r="C103"/>
  <c r="D102"/>
  <c r="D101"/>
  <c r="D100"/>
  <c r="F99"/>
  <c r="D99"/>
  <c r="C98"/>
  <c r="D95"/>
  <c r="D94"/>
  <c r="D93"/>
  <c r="D92"/>
  <c r="D91"/>
  <c r="D90"/>
  <c r="F89"/>
  <c r="D89"/>
  <c r="C88"/>
  <c r="D87"/>
  <c r="D86"/>
  <c r="D85"/>
  <c r="D84"/>
  <c r="D83"/>
  <c r="D82"/>
  <c r="F81"/>
  <c r="D81"/>
  <c r="C80"/>
  <c r="D79"/>
  <c r="D78"/>
  <c r="D77"/>
  <c r="D76"/>
  <c r="D75"/>
  <c r="D74"/>
  <c r="F73"/>
  <c r="D73"/>
  <c r="C72"/>
  <c r="D71"/>
  <c r="D70"/>
  <c r="D69"/>
  <c r="D68"/>
  <c r="D67"/>
  <c r="D66"/>
  <c r="F65"/>
  <c r="D65"/>
  <c r="C64"/>
  <c r="D63"/>
  <c r="D62"/>
  <c r="D61"/>
  <c r="D60"/>
  <c r="D59"/>
  <c r="D58"/>
  <c r="F57"/>
  <c r="D57"/>
  <c r="C56"/>
  <c r="D55"/>
  <c r="D54"/>
  <c r="D53"/>
  <c r="D52"/>
  <c r="D51"/>
  <c r="D50"/>
  <c r="F49"/>
  <c r="D49"/>
  <c r="C48"/>
  <c r="D47"/>
  <c r="D46"/>
  <c r="D45"/>
  <c r="D44"/>
  <c r="D43"/>
  <c r="D42"/>
  <c r="F41"/>
  <c r="D41"/>
  <c r="C40"/>
  <c r="C39"/>
  <c r="U37"/>
  <c r="C37"/>
  <c r="O36"/>
  <c r="U36" s="1"/>
  <c r="J36"/>
  <c r="C36"/>
  <c r="U33"/>
  <c r="T33"/>
  <c r="S33"/>
  <c r="R33"/>
  <c r="Q33"/>
  <c r="O33"/>
  <c r="N33"/>
  <c r="M33"/>
  <c r="L33"/>
  <c r="K33"/>
  <c r="J33"/>
  <c r="M84" i="55" l="1"/>
  <c r="G180" i="64" s="1"/>
  <c r="U180" s="1"/>
  <c r="M12" i="66"/>
  <c r="N12"/>
  <c r="L12"/>
  <c r="O12"/>
  <c r="O11"/>
  <c r="N11"/>
  <c r="L11"/>
  <c r="K11"/>
  <c r="O10"/>
  <c r="N10"/>
  <c r="M10"/>
  <c r="L10"/>
  <c r="N9"/>
  <c r="K9"/>
  <c r="L9"/>
  <c r="O9"/>
  <c r="N8"/>
  <c r="L8"/>
  <c r="O8"/>
  <c r="M8"/>
  <c r="K7"/>
  <c r="L7"/>
  <c r="O7"/>
  <c r="N7"/>
  <c r="O6"/>
  <c r="L6"/>
  <c r="M6"/>
  <c r="N6"/>
  <c r="K5"/>
  <c r="O5"/>
  <c r="N5"/>
  <c r="L5"/>
  <c r="O13"/>
  <c r="L13"/>
  <c r="M13"/>
  <c r="N13"/>
  <c r="R180" i="64" l="1"/>
  <c r="Q180"/>
  <c r="T180"/>
  <c r="S180"/>
  <c r="L85" i="55"/>
  <c r="K85"/>
  <c r="I85"/>
  <c r="H85"/>
  <c r="G85"/>
  <c r="L74"/>
  <c r="K74"/>
  <c r="I74" l="1"/>
  <c r="H74"/>
  <c r="G74"/>
  <c r="L60"/>
  <c r="H101" i="64" s="1"/>
  <c r="K60" i="55"/>
  <c r="I60"/>
  <c r="H60"/>
  <c r="G60"/>
  <c r="M57" l="1"/>
  <c r="L57"/>
  <c r="K57"/>
  <c r="I57"/>
  <c r="H57"/>
  <c r="G57"/>
  <c r="M56" s="1"/>
  <c r="L56"/>
  <c r="K56"/>
  <c r="I56"/>
  <c r="H56"/>
  <c r="G56"/>
  <c r="M55" s="1"/>
  <c r="L55"/>
  <c r="K55"/>
  <c r="I55"/>
  <c r="H55"/>
  <c r="G55"/>
  <c r="M54" s="1"/>
  <c r="L54"/>
  <c r="H49" i="64" s="1"/>
  <c r="K54" i="55"/>
  <c r="I54"/>
  <c r="H54"/>
  <c r="G54"/>
  <c r="G49" i="64" l="1"/>
  <c r="M38" i="55"/>
  <c r="L38"/>
  <c r="K38"/>
  <c r="I38"/>
  <c r="H38"/>
  <c r="G38"/>
  <c r="M37"/>
  <c r="L37"/>
  <c r="K37"/>
  <c r="I37"/>
  <c r="H37"/>
  <c r="G37"/>
  <c r="M27"/>
  <c r="G92" i="64" s="1"/>
  <c r="L27" i="55"/>
  <c r="H92" i="64" s="1"/>
  <c r="K27" i="55"/>
  <c r="I27" l="1"/>
  <c r="H27"/>
  <c r="G27"/>
  <c r="M26"/>
  <c r="G84" i="64" s="1"/>
  <c r="L26" i="55"/>
  <c r="H84" i="64" s="1"/>
  <c r="K26" i="55"/>
  <c r="I26"/>
  <c r="H26"/>
  <c r="G26"/>
  <c r="M25"/>
  <c r="G76" i="64" s="1"/>
  <c r="L25" i="55"/>
  <c r="H76" i="64" s="1"/>
  <c r="K25" i="55"/>
  <c r="I25"/>
  <c r="H25"/>
  <c r="G25"/>
  <c r="M24" l="1"/>
  <c r="G68" i="64" s="1"/>
  <c r="L24" i="55"/>
  <c r="H68" i="64" s="1"/>
  <c r="K24" i="55"/>
  <c r="I24"/>
  <c r="H24"/>
  <c r="G24"/>
  <c r="M22"/>
  <c r="G52" i="64" s="1"/>
  <c r="L22" i="55"/>
  <c r="H52" i="64" s="1"/>
  <c r="K22" i="55"/>
  <c r="I22"/>
  <c r="H22"/>
  <c r="G22"/>
  <c r="M21"/>
  <c r="G44" i="64" s="1"/>
  <c r="L21" i="55"/>
  <c r="H44" i="64" s="1"/>
  <c r="K21" i="55"/>
  <c r="I21"/>
  <c r="H21"/>
  <c r="G21"/>
  <c r="F190" i="52"/>
  <c r="F189"/>
  <c r="O189" l="1"/>
  <c r="AD189"/>
  <c r="Y189"/>
  <c r="T189"/>
  <c r="AK189"/>
  <c r="AC189" s="1"/>
  <c r="I154" i="76"/>
  <c r="S154" s="1"/>
  <c r="BQ154" s="1"/>
  <c r="L170" i="58"/>
  <c r="O185" i="64"/>
  <c r="H152" i="76"/>
  <c r="R152" s="1"/>
  <c r="K168" i="58"/>
  <c r="N183" i="64"/>
  <c r="D153" i="76"/>
  <c r="N153" s="1"/>
  <c r="G169" i="58"/>
  <c r="J184" i="64"/>
  <c r="G153" i="76"/>
  <c r="Q153" s="1"/>
  <c r="M184" i="64"/>
  <c r="F154" i="76"/>
  <c r="P154" s="1"/>
  <c r="L185" i="64"/>
  <c r="F169" i="58"/>
  <c r="F184" i="64"/>
  <c r="I153" i="76"/>
  <c r="S153" s="1"/>
  <c r="L169" i="58"/>
  <c r="O184" i="64"/>
  <c r="H154" i="76"/>
  <c r="R154" s="1"/>
  <c r="K170" i="58"/>
  <c r="J170" s="1"/>
  <c r="I170" s="1"/>
  <c r="H170" s="1"/>
  <c r="N185" i="64"/>
  <c r="E153" i="76"/>
  <c r="O153" s="1"/>
  <c r="K184" i="64"/>
  <c r="F170" i="58"/>
  <c r="F185" i="64"/>
  <c r="F153" i="76"/>
  <c r="P153" s="1"/>
  <c r="L184" i="64"/>
  <c r="E154" i="76"/>
  <c r="O154" s="1"/>
  <c r="K185" i="64"/>
  <c r="I152" i="76"/>
  <c r="S152" s="1"/>
  <c r="L168" i="58"/>
  <c r="O183" i="64"/>
  <c r="H153" i="76"/>
  <c r="R153" s="1"/>
  <c r="K169" i="58"/>
  <c r="J169" s="1"/>
  <c r="I169" s="1"/>
  <c r="H169" s="1"/>
  <c r="N184" i="64"/>
  <c r="D154" i="76"/>
  <c r="N154" s="1"/>
  <c r="G170" i="58"/>
  <c r="J185" i="64"/>
  <c r="G154" i="76"/>
  <c r="Q154" s="1"/>
  <c r="M185" i="64"/>
  <c r="F188" i="52"/>
  <c r="F187"/>
  <c r="F186"/>
  <c r="F183"/>
  <c r="F180"/>
  <c r="F178"/>
  <c r="F177"/>
  <c r="M166" i="64"/>
  <c r="L166"/>
  <c r="K166"/>
  <c r="F169" i="52"/>
  <c r="F168"/>
  <c r="F167"/>
  <c r="F166"/>
  <c r="AF162"/>
  <c r="AI162" s="1"/>
  <c r="AA162"/>
  <c r="V162"/>
  <c r="Q162"/>
  <c r="L162"/>
  <c r="AF161"/>
  <c r="AI161" s="1"/>
  <c r="AA161"/>
  <c r="V161"/>
  <c r="Q161"/>
  <c r="L161"/>
  <c r="AF160"/>
  <c r="AI160" s="1"/>
  <c r="AA160"/>
  <c r="V160"/>
  <c r="Q160"/>
  <c r="T160" s="1"/>
  <c r="L160"/>
  <c r="AF159"/>
  <c r="AA159"/>
  <c r="V159"/>
  <c r="Q159"/>
  <c r="L159"/>
  <c r="AF157"/>
  <c r="AI157" s="1"/>
  <c r="AA157"/>
  <c r="V157"/>
  <c r="Q157"/>
  <c r="L157"/>
  <c r="AF156"/>
  <c r="AI156" s="1"/>
  <c r="AA156"/>
  <c r="V156"/>
  <c r="Q156"/>
  <c r="L156"/>
  <c r="AF155"/>
  <c r="AI155" s="1"/>
  <c r="AA155"/>
  <c r="V155"/>
  <c r="Q155"/>
  <c r="L155"/>
  <c r="AF154"/>
  <c r="AA154"/>
  <c r="V154"/>
  <c r="Q154"/>
  <c r="L154"/>
  <c r="AF152"/>
  <c r="AI152" s="1"/>
  <c r="AA152"/>
  <c r="V152"/>
  <c r="Q152"/>
  <c r="L152"/>
  <c r="AF151"/>
  <c r="AI151" s="1"/>
  <c r="AA151"/>
  <c r="V151"/>
  <c r="Q151"/>
  <c r="L151"/>
  <c r="AF150"/>
  <c r="AI150" s="1"/>
  <c r="AA150"/>
  <c r="V150"/>
  <c r="Q150"/>
  <c r="L150"/>
  <c r="AF149"/>
  <c r="AA149"/>
  <c r="V149"/>
  <c r="Q149"/>
  <c r="L149"/>
  <c r="AF147"/>
  <c r="AI147" s="1"/>
  <c r="AA147"/>
  <c r="V147"/>
  <c r="Q147"/>
  <c r="L147"/>
  <c r="F147"/>
  <c r="F162" s="1"/>
  <c r="AF146"/>
  <c r="AI146" s="1"/>
  <c r="AA146"/>
  <c r="V146"/>
  <c r="Q146"/>
  <c r="L146"/>
  <c r="F146"/>
  <c r="AF145"/>
  <c r="AI145" s="1"/>
  <c r="AA145"/>
  <c r="V145"/>
  <c r="Q145"/>
  <c r="L145"/>
  <c r="F145"/>
  <c r="AF144"/>
  <c r="AA144"/>
  <c r="V144"/>
  <c r="Q144"/>
  <c r="L144"/>
  <c r="AF139"/>
  <c r="AA139"/>
  <c r="V139"/>
  <c r="Q139"/>
  <c r="L139"/>
  <c r="AF137"/>
  <c r="AI137" s="1"/>
  <c r="AA137"/>
  <c r="V137"/>
  <c r="Q137"/>
  <c r="L137"/>
  <c r="AF136"/>
  <c r="AI136" s="1"/>
  <c r="AA136"/>
  <c r="V136"/>
  <c r="Q136"/>
  <c r="L136"/>
  <c r="AF135"/>
  <c r="AI135" s="1"/>
  <c r="AA135"/>
  <c r="V135"/>
  <c r="Q135"/>
  <c r="L135"/>
  <c r="AF134"/>
  <c r="AA134"/>
  <c r="AE134" s="1"/>
  <c r="V134"/>
  <c r="Z134" s="1"/>
  <c r="Q134"/>
  <c r="U134" s="1"/>
  <c r="L134"/>
  <c r="P134" s="1"/>
  <c r="AF114"/>
  <c r="AI114" s="1"/>
  <c r="AA114"/>
  <c r="V114"/>
  <c r="Q114"/>
  <c r="L114"/>
  <c r="AF109"/>
  <c r="AI109" s="1"/>
  <c r="AA109"/>
  <c r="V109"/>
  <c r="Y109" s="1"/>
  <c r="Q109"/>
  <c r="L109"/>
  <c r="F107"/>
  <c r="F106"/>
  <c r="F105"/>
  <c r="AF104"/>
  <c r="AI104" s="1"/>
  <c r="AA104"/>
  <c r="V104"/>
  <c r="Y104" s="1"/>
  <c r="Q104"/>
  <c r="L104"/>
  <c r="AF94"/>
  <c r="AI94" s="1"/>
  <c r="AA94"/>
  <c r="V94"/>
  <c r="Q94"/>
  <c r="L94"/>
  <c r="AF86"/>
  <c r="AI86" s="1"/>
  <c r="AA86"/>
  <c r="V86"/>
  <c r="Q86"/>
  <c r="L86"/>
  <c r="AF78"/>
  <c r="AI78" s="1"/>
  <c r="AA78"/>
  <c r="V78"/>
  <c r="Q78"/>
  <c r="L78"/>
  <c r="J68" i="64"/>
  <c r="AF70" i="52"/>
  <c r="AI70" s="1"/>
  <c r="AA70"/>
  <c r="V70"/>
  <c r="Q70"/>
  <c r="L70"/>
  <c r="AF54"/>
  <c r="AI54" s="1"/>
  <c r="AA54"/>
  <c r="V54"/>
  <c r="Q54"/>
  <c r="L54"/>
  <c r="F52"/>
  <c r="F68" s="1"/>
  <c r="F48" i="58" s="1"/>
  <c r="F51" i="52"/>
  <c r="F99" s="1"/>
  <c r="F50"/>
  <c r="F49"/>
  <c r="F73" s="1"/>
  <c r="F68" i="64" s="1"/>
  <c r="F48" i="52"/>
  <c r="F88" s="1"/>
  <c r="F47"/>
  <c r="F63" s="1"/>
  <c r="AF46"/>
  <c r="AI46" s="1"/>
  <c r="AA46"/>
  <c r="V46"/>
  <c r="Q46"/>
  <c r="L46"/>
  <c r="AF41"/>
  <c r="AA41"/>
  <c r="V41"/>
  <c r="Q41"/>
  <c r="L41"/>
  <c r="AF38"/>
  <c r="AA38"/>
  <c r="V38"/>
  <c r="Q38"/>
  <c r="L38"/>
  <c r="V22" i="47"/>
  <c r="T22"/>
  <c r="R22"/>
  <c r="P22"/>
  <c r="N22"/>
  <c r="L22"/>
  <c r="AC41" i="46"/>
  <c r="AB41"/>
  <c r="AA41"/>
  <c r="Y41"/>
  <c r="X41"/>
  <c r="W41"/>
  <c r="U41"/>
  <c r="T41"/>
  <c r="S41"/>
  <c r="Q41"/>
  <c r="P41"/>
  <c r="O41"/>
  <c r="M41"/>
  <c r="L41"/>
  <c r="K41"/>
  <c r="AC25"/>
  <c r="AB25"/>
  <c r="AA25"/>
  <c r="Y25"/>
  <c r="X25"/>
  <c r="W25"/>
  <c r="U25"/>
  <c r="T25"/>
  <c r="S25"/>
  <c r="Q25"/>
  <c r="P25"/>
  <c r="O25"/>
  <c r="M25"/>
  <c r="L25"/>
  <c r="K25"/>
  <c r="AA21"/>
  <c r="W21"/>
  <c r="S21"/>
  <c r="O21"/>
  <c r="G21"/>
  <c r="AU24" i="45"/>
  <c r="AT24"/>
  <c r="AS24"/>
  <c r="AR24"/>
  <c r="AQ24"/>
  <c r="AP24"/>
  <c r="S24"/>
  <c r="Z24" s="1"/>
  <c r="R24"/>
  <c r="Y24" s="1"/>
  <c r="Q24"/>
  <c r="X24" s="1"/>
  <c r="P24"/>
  <c r="W24" s="1"/>
  <c r="O24"/>
  <c r="V24" s="1"/>
  <c r="N24"/>
  <c r="U24" s="1"/>
  <c r="AP21"/>
  <c r="AI21"/>
  <c r="AB21"/>
  <c r="U21"/>
  <c r="N21"/>
  <c r="G21"/>
  <c r="P53" i="25"/>
  <c r="O53"/>
  <c r="N53"/>
  <c r="M53"/>
  <c r="L53"/>
  <c r="K53"/>
  <c r="J53"/>
  <c r="I53"/>
  <c r="H53"/>
  <c r="G53"/>
  <c r="F53"/>
  <c r="J33" i="55"/>
  <c r="M37" i="76"/>
  <c r="O37" s="1"/>
  <c r="U139" i="52" l="1"/>
  <c r="T139"/>
  <c r="AJ134"/>
  <c r="AI134"/>
  <c r="P139"/>
  <c r="O139"/>
  <c r="AJ149"/>
  <c r="AI149"/>
  <c r="P154"/>
  <c r="O154"/>
  <c r="U149"/>
  <c r="T149"/>
  <c r="P149"/>
  <c r="O149"/>
  <c r="AJ154"/>
  <c r="AI154"/>
  <c r="P159"/>
  <c r="O159"/>
  <c r="Z139"/>
  <c r="Y139"/>
  <c r="Z154"/>
  <c r="Y154"/>
  <c r="AJ144"/>
  <c r="AI144"/>
  <c r="AE144"/>
  <c r="AD144"/>
  <c r="Z144"/>
  <c r="Y144"/>
  <c r="AE149"/>
  <c r="AD149"/>
  <c r="AE159"/>
  <c r="AD159"/>
  <c r="U144"/>
  <c r="T144"/>
  <c r="Z149"/>
  <c r="Y149"/>
  <c r="Z159"/>
  <c r="Y159"/>
  <c r="U154"/>
  <c r="T154"/>
  <c r="AJ159"/>
  <c r="AI159"/>
  <c r="P144"/>
  <c r="O144"/>
  <c r="U159"/>
  <c r="T159"/>
  <c r="AJ139"/>
  <c r="AI139"/>
  <c r="AE139"/>
  <c r="AD139"/>
  <c r="AE154"/>
  <c r="AD154"/>
  <c r="O109"/>
  <c r="AK109"/>
  <c r="AC109" s="1"/>
  <c r="T150"/>
  <c r="AJ70"/>
  <c r="F117"/>
  <c r="F142"/>
  <c r="F127"/>
  <c r="F112"/>
  <c r="F137"/>
  <c r="F132"/>
  <c r="F122"/>
  <c r="O150"/>
  <c r="AK150"/>
  <c r="J150" s="1"/>
  <c r="O160"/>
  <c r="AK160"/>
  <c r="N160" s="1"/>
  <c r="T104"/>
  <c r="Y150"/>
  <c r="O104"/>
  <c r="AK104"/>
  <c r="S104" s="1"/>
  <c r="F126"/>
  <c r="F111"/>
  <c r="F131"/>
  <c r="F121"/>
  <c r="F116"/>
  <c r="F136"/>
  <c r="F141"/>
  <c r="U70"/>
  <c r="T70"/>
  <c r="T109"/>
  <c r="AD70"/>
  <c r="AE70"/>
  <c r="F90"/>
  <c r="F98"/>
  <c r="F74"/>
  <c r="F58"/>
  <c r="F82"/>
  <c r="F66"/>
  <c r="O70"/>
  <c r="P70"/>
  <c r="AK70"/>
  <c r="J70" s="1"/>
  <c r="AD104"/>
  <c r="AD109"/>
  <c r="Y160"/>
  <c r="Z70"/>
  <c r="Y70"/>
  <c r="F115"/>
  <c r="F125"/>
  <c r="F140"/>
  <c r="F130"/>
  <c r="F110"/>
  <c r="F135"/>
  <c r="F120"/>
  <c r="AD150"/>
  <c r="AD160"/>
  <c r="T37" i="64"/>
  <c r="N40" i="25"/>
  <c r="S37" i="64"/>
  <c r="L40" i="25"/>
  <c r="R37" i="64"/>
  <c r="J40" i="25"/>
  <c r="Q37" i="64"/>
  <c r="H40" i="25"/>
  <c r="O151" i="52"/>
  <c r="O156"/>
  <c r="O161"/>
  <c r="O183"/>
  <c r="U186"/>
  <c r="J21" i="58"/>
  <c r="Z46" i="52"/>
  <c r="U78"/>
  <c r="AE86"/>
  <c r="AK95"/>
  <c r="AK99"/>
  <c r="J99" s="1"/>
  <c r="O136"/>
  <c r="AK145"/>
  <c r="O146"/>
  <c r="AK151"/>
  <c r="AK156"/>
  <c r="AK161"/>
  <c r="AK183"/>
  <c r="S183" s="1"/>
  <c r="U183" s="1"/>
  <c r="P186"/>
  <c r="O186"/>
  <c r="I21" i="58"/>
  <c r="U46" i="52"/>
  <c r="P78"/>
  <c r="O78"/>
  <c r="Z86"/>
  <c r="AJ94"/>
  <c r="O96"/>
  <c r="AK124"/>
  <c r="AK136"/>
  <c r="AK146"/>
  <c r="O147"/>
  <c r="O152"/>
  <c r="O157"/>
  <c r="O162"/>
  <c r="K186"/>
  <c r="AK186"/>
  <c r="AH186" s="1"/>
  <c r="O187"/>
  <c r="X189"/>
  <c r="J189"/>
  <c r="N189"/>
  <c r="AE46"/>
  <c r="AJ86"/>
  <c r="O99"/>
  <c r="AK119"/>
  <c r="O145"/>
  <c r="O46"/>
  <c r="P46"/>
  <c r="AJ54"/>
  <c r="T86"/>
  <c r="U86"/>
  <c r="AK96"/>
  <c r="Y114"/>
  <c r="O129"/>
  <c r="AK152"/>
  <c r="N152" s="1"/>
  <c r="AD155"/>
  <c r="AK162"/>
  <c r="N162" s="1"/>
  <c r="T167"/>
  <c r="AD169"/>
  <c r="T177"/>
  <c r="AK187"/>
  <c r="S187" s="1"/>
  <c r="K46"/>
  <c r="AK46"/>
  <c r="AD54"/>
  <c r="AE54"/>
  <c r="P86"/>
  <c r="O86"/>
  <c r="Y94"/>
  <c r="Z94"/>
  <c r="O97"/>
  <c r="T134"/>
  <c r="AD135"/>
  <c r="Y155"/>
  <c r="O167"/>
  <c r="Y169"/>
  <c r="T178"/>
  <c r="Y54"/>
  <c r="Z54"/>
  <c r="AK86"/>
  <c r="K86"/>
  <c r="AD95"/>
  <c r="O134"/>
  <c r="Y135"/>
  <c r="AK159"/>
  <c r="AD161"/>
  <c r="AK167"/>
  <c r="O178"/>
  <c r="AJ186"/>
  <c r="P94"/>
  <c r="O94"/>
  <c r="Y99"/>
  <c r="AK114"/>
  <c r="AK134"/>
  <c r="T135"/>
  <c r="AD136"/>
  <c r="AK139"/>
  <c r="Y145"/>
  <c r="AD146"/>
  <c r="Y151"/>
  <c r="O155"/>
  <c r="Y156"/>
  <c r="Y161"/>
  <c r="AK168"/>
  <c r="O169"/>
  <c r="AK178"/>
  <c r="Y183"/>
  <c r="AE186"/>
  <c r="AH189"/>
  <c r="K21" i="58"/>
  <c r="AK54" i="52"/>
  <c r="K54"/>
  <c r="Z78"/>
  <c r="O95"/>
  <c r="AK135"/>
  <c r="T136"/>
  <c r="AK144"/>
  <c r="T146"/>
  <c r="H21" i="58"/>
  <c r="AK41" i="52"/>
  <c r="J41" s="1"/>
  <c r="K78"/>
  <c r="AK78"/>
  <c r="AD94"/>
  <c r="AE94"/>
  <c r="T97"/>
  <c r="Y134"/>
  <c r="O137"/>
  <c r="AK147"/>
  <c r="AH147" s="1"/>
  <c r="AK157"/>
  <c r="X157" s="1"/>
  <c r="O166"/>
  <c r="Y168"/>
  <c r="Y178"/>
  <c r="O188"/>
  <c r="T114"/>
  <c r="AK129"/>
  <c r="AK137"/>
  <c r="AC137" s="1"/>
  <c r="AK166"/>
  <c r="X166" s="1"/>
  <c r="T168"/>
  <c r="O177"/>
  <c r="AK188"/>
  <c r="X188" s="1"/>
  <c r="U94"/>
  <c r="AK97"/>
  <c r="AC97" s="1"/>
  <c r="AD99"/>
  <c r="O114"/>
  <c r="AD145"/>
  <c r="AK149"/>
  <c r="AD151"/>
  <c r="AK154"/>
  <c r="AD156"/>
  <c r="O168"/>
  <c r="AK177"/>
  <c r="T54"/>
  <c r="U54"/>
  <c r="AJ78"/>
  <c r="Y95"/>
  <c r="AJ46"/>
  <c r="O54"/>
  <c r="P54"/>
  <c r="AE78"/>
  <c r="AK94"/>
  <c r="K94"/>
  <c r="T95"/>
  <c r="AK98"/>
  <c r="S98" s="1"/>
  <c r="T99"/>
  <c r="O135"/>
  <c r="Y136"/>
  <c r="T145"/>
  <c r="Y146"/>
  <c r="T151"/>
  <c r="AK155"/>
  <c r="T156"/>
  <c r="T161"/>
  <c r="AK169"/>
  <c r="T183"/>
  <c r="Y186"/>
  <c r="Z186"/>
  <c r="S189"/>
  <c r="AD188"/>
  <c r="T94"/>
  <c r="T155"/>
  <c r="T169"/>
  <c r="AD183"/>
  <c r="AD46"/>
  <c r="Y78"/>
  <c r="Y96"/>
  <c r="AD78"/>
  <c r="AD96"/>
  <c r="Y46"/>
  <c r="T78"/>
  <c r="AD97"/>
  <c r="AD86"/>
  <c r="T96"/>
  <c r="T46"/>
  <c r="Y86"/>
  <c r="Y97"/>
  <c r="AD147"/>
  <c r="AD152"/>
  <c r="AD157"/>
  <c r="AD162"/>
  <c r="AD187"/>
  <c r="T186"/>
  <c r="AD129"/>
  <c r="AD137"/>
  <c r="Y147"/>
  <c r="Y152"/>
  <c r="Y157"/>
  <c r="Y162"/>
  <c r="AD166"/>
  <c r="Y187"/>
  <c r="AD186"/>
  <c r="Y129"/>
  <c r="Y137"/>
  <c r="T147"/>
  <c r="T152"/>
  <c r="T157"/>
  <c r="T162"/>
  <c r="Y166"/>
  <c r="AD167"/>
  <c r="AD177"/>
  <c r="T187"/>
  <c r="Y188"/>
  <c r="AD114"/>
  <c r="T129"/>
  <c r="AD134"/>
  <c r="T137"/>
  <c r="T166"/>
  <c r="Y167"/>
  <c r="AD168"/>
  <c r="Y177"/>
  <c r="AD178"/>
  <c r="T188"/>
  <c r="AA42"/>
  <c r="L42"/>
  <c r="Q42"/>
  <c r="D6" i="76"/>
  <c r="G22" i="58"/>
  <c r="V42" i="52"/>
  <c r="J49" i="64"/>
  <c r="O92"/>
  <c r="L49"/>
  <c r="K49"/>
  <c r="N49"/>
  <c r="M49"/>
  <c r="L114" i="58"/>
  <c r="I98" i="76"/>
  <c r="O129" i="64"/>
  <c r="E100" i="76"/>
  <c r="H116" i="58"/>
  <c r="K131" i="64"/>
  <c r="G101" i="76"/>
  <c r="M132" i="64"/>
  <c r="J117" i="58"/>
  <c r="H98" i="76"/>
  <c r="N129" i="64"/>
  <c r="K114" i="58"/>
  <c r="D100" i="76"/>
  <c r="G116" i="58"/>
  <c r="J131" i="64"/>
  <c r="F101" i="76"/>
  <c r="L132" i="64"/>
  <c r="I117" i="58"/>
  <c r="L131" i="64"/>
  <c r="F100" i="76"/>
  <c r="I116" i="58"/>
  <c r="G98" i="76"/>
  <c r="M129" i="64"/>
  <c r="J114" i="58"/>
  <c r="L129" i="64"/>
  <c r="I114" i="58"/>
  <c r="F98" i="76"/>
  <c r="H99"/>
  <c r="N130" i="64"/>
  <c r="K115" i="58"/>
  <c r="D101" i="76"/>
  <c r="J132" i="64"/>
  <c r="G117" i="58"/>
  <c r="N132" i="64"/>
  <c r="K117" i="58"/>
  <c r="H101" i="76"/>
  <c r="E101"/>
  <c r="H117" i="58"/>
  <c r="K132" i="64"/>
  <c r="K129"/>
  <c r="H114" i="58"/>
  <c r="E98" i="76"/>
  <c r="I100"/>
  <c r="O131" i="64"/>
  <c r="L116" i="58"/>
  <c r="J129" i="64"/>
  <c r="D98" i="76"/>
  <c r="G114" i="58"/>
  <c r="F99" i="76"/>
  <c r="I115" i="58"/>
  <c r="L130" i="64"/>
  <c r="N131"/>
  <c r="K116" i="58"/>
  <c r="H100" i="76"/>
  <c r="J130" i="64"/>
  <c r="D99" i="76"/>
  <c r="G115" i="58"/>
  <c r="I99" i="76"/>
  <c r="L115" i="58"/>
  <c r="O130" i="64"/>
  <c r="M130"/>
  <c r="G99" i="76"/>
  <c r="J115" i="58"/>
  <c r="E99" i="76"/>
  <c r="H115" i="58"/>
  <c r="K130" i="64"/>
  <c r="M131"/>
  <c r="J116" i="58"/>
  <c r="G100" i="76"/>
  <c r="L117" i="58"/>
  <c r="O132" i="64"/>
  <c r="I101" i="76"/>
  <c r="J83" i="55"/>
  <c r="J84"/>
  <c r="F75" i="52"/>
  <c r="F70" i="64" s="1"/>
  <c r="F91" i="52"/>
  <c r="F71" i="58" s="1"/>
  <c r="F59" i="52"/>
  <c r="F39" i="58" s="1"/>
  <c r="F67" i="52"/>
  <c r="F62" i="64" s="1"/>
  <c r="F92" i="52"/>
  <c r="F87" i="64" s="1"/>
  <c r="G87" s="1"/>
  <c r="F76" i="52"/>
  <c r="F56" i="58" s="1"/>
  <c r="F64" i="52"/>
  <c r="F44" i="58" s="1"/>
  <c r="F80" i="52"/>
  <c r="F60" i="58" s="1"/>
  <c r="F79" i="52"/>
  <c r="F74" i="64" s="1"/>
  <c r="F152" i="52"/>
  <c r="F147" i="64" s="1"/>
  <c r="F56" i="52"/>
  <c r="F36" i="58" s="1"/>
  <c r="J72" i="55"/>
  <c r="J73"/>
  <c r="J71"/>
  <c r="J22"/>
  <c r="J49"/>
  <c r="F43" i="58"/>
  <c r="F58" i="64"/>
  <c r="H69" i="58"/>
  <c r="K84" i="64"/>
  <c r="G80" i="76"/>
  <c r="J96" i="58"/>
  <c r="M111" i="64"/>
  <c r="D109" i="76"/>
  <c r="G125" i="58"/>
  <c r="J140" i="64"/>
  <c r="E5" i="76"/>
  <c r="K36" i="64"/>
  <c r="Q36" s="1"/>
  <c r="I45" i="58"/>
  <c r="L60" i="64"/>
  <c r="E34" i="76"/>
  <c r="H50" i="58"/>
  <c r="K65" i="64"/>
  <c r="G42" i="76"/>
  <c r="J58" i="58"/>
  <c r="M73" i="64"/>
  <c r="H46" i="76"/>
  <c r="K62" i="58"/>
  <c r="N77" i="64"/>
  <c r="E48" i="76"/>
  <c r="H64" i="58"/>
  <c r="K79" i="64"/>
  <c r="G55" i="76"/>
  <c r="J71" i="58"/>
  <c r="M86" i="64"/>
  <c r="I59" i="76"/>
  <c r="L75" i="58"/>
  <c r="O90" i="64"/>
  <c r="E62" i="76"/>
  <c r="H78" i="58"/>
  <c r="K93" i="64"/>
  <c r="H68" i="76"/>
  <c r="K84" i="58"/>
  <c r="N99" i="64"/>
  <c r="D70" i="76"/>
  <c r="G86" i="58"/>
  <c r="Q86" s="1"/>
  <c r="J101" i="64"/>
  <c r="I70" i="76"/>
  <c r="L86" i="58"/>
  <c r="O101" i="64"/>
  <c r="E78" i="76"/>
  <c r="H94" i="58"/>
  <c r="K109" i="64"/>
  <c r="F81" i="76"/>
  <c r="I97" i="58"/>
  <c r="L112" i="64"/>
  <c r="H85" i="76"/>
  <c r="K101" i="58"/>
  <c r="N116" i="64"/>
  <c r="D94" i="76"/>
  <c r="G110" i="58"/>
  <c r="J125" i="64"/>
  <c r="F126" i="58"/>
  <c r="F141" i="64"/>
  <c r="F151" i="52"/>
  <c r="F146" i="64" s="1"/>
  <c r="F156" i="52"/>
  <c r="F115" i="76"/>
  <c r="I131" i="58"/>
  <c r="L146" i="64"/>
  <c r="G118" i="76"/>
  <c r="J134" i="58"/>
  <c r="M149" i="64"/>
  <c r="H124" i="76"/>
  <c r="K140" i="58"/>
  <c r="N155" i="64"/>
  <c r="G130" i="76"/>
  <c r="Q130" s="1"/>
  <c r="M161" i="64"/>
  <c r="F131" i="76"/>
  <c r="P131" s="1"/>
  <c r="L162" i="64"/>
  <c r="F162" i="58"/>
  <c r="F177" i="64"/>
  <c r="G150" i="76"/>
  <c r="Q150" s="1"/>
  <c r="M181" i="64"/>
  <c r="F168" i="58"/>
  <c r="F183" i="64"/>
  <c r="E11" i="76"/>
  <c r="H27" i="58"/>
  <c r="K42" i="64"/>
  <c r="J29" i="58"/>
  <c r="M44" i="64"/>
  <c r="H15" i="76"/>
  <c r="K31" i="58"/>
  <c r="N46" i="64"/>
  <c r="H37" i="58"/>
  <c r="K52" i="64"/>
  <c r="E22" i="76"/>
  <c r="H38" i="58"/>
  <c r="K53" i="64"/>
  <c r="G24" i="76"/>
  <c r="J40" i="58"/>
  <c r="M55" i="64"/>
  <c r="F26" i="76"/>
  <c r="I42" i="58"/>
  <c r="L57" i="64"/>
  <c r="G38" i="76"/>
  <c r="J54" i="58"/>
  <c r="M69" i="64"/>
  <c r="F44" i="76"/>
  <c r="I60" i="58"/>
  <c r="L75" i="64"/>
  <c r="D48" i="76"/>
  <c r="G64" i="58"/>
  <c r="J79" i="64"/>
  <c r="G51" i="76"/>
  <c r="J67" i="58"/>
  <c r="M82" i="64"/>
  <c r="G54" i="76"/>
  <c r="J70" i="58"/>
  <c r="M85" i="64"/>
  <c r="I56" i="76"/>
  <c r="L72" i="58"/>
  <c r="O87" i="64"/>
  <c r="G58" i="76"/>
  <c r="J74" i="58"/>
  <c r="M89" i="64"/>
  <c r="I74" i="76"/>
  <c r="L90" i="58"/>
  <c r="O105" i="64"/>
  <c r="D78" i="76"/>
  <c r="G94" i="58"/>
  <c r="J109" i="64"/>
  <c r="I84" i="76"/>
  <c r="L100" i="58"/>
  <c r="O115" i="64"/>
  <c r="H89" i="76"/>
  <c r="K105" i="58"/>
  <c r="N120" i="64"/>
  <c r="D93" i="76"/>
  <c r="G109" i="58"/>
  <c r="J124" i="64"/>
  <c r="D106" i="76"/>
  <c r="G122" i="58"/>
  <c r="J137" i="64"/>
  <c r="I108" i="76"/>
  <c r="L124" i="58"/>
  <c r="O139" i="64"/>
  <c r="H125" i="76"/>
  <c r="K141" i="58"/>
  <c r="N156" i="64"/>
  <c r="I140" i="76"/>
  <c r="S140" s="1"/>
  <c r="L156" i="58"/>
  <c r="O171" i="64"/>
  <c r="H141" i="76"/>
  <c r="R141" s="1"/>
  <c r="K157" i="58"/>
  <c r="J157" s="1"/>
  <c r="I157" s="1"/>
  <c r="H157" s="1"/>
  <c r="N172" i="64"/>
  <c r="E144" i="76"/>
  <c r="O144" s="1"/>
  <c r="K175" i="64"/>
  <c r="E151" i="76"/>
  <c r="O151" s="1"/>
  <c r="K182" i="64"/>
  <c r="I12" i="76"/>
  <c r="L28" i="58"/>
  <c r="O43" i="64"/>
  <c r="E31" i="76"/>
  <c r="H47" i="58"/>
  <c r="K62" i="64"/>
  <c r="H51" i="76"/>
  <c r="K67" i="58"/>
  <c r="N82" i="64"/>
  <c r="H119" i="76"/>
  <c r="K135" i="58"/>
  <c r="N150" i="64"/>
  <c r="BK154" i="76"/>
  <c r="AM154"/>
  <c r="BE154"/>
  <c r="AG154"/>
  <c r="AY154"/>
  <c r="AA154"/>
  <c r="AS154"/>
  <c r="D27"/>
  <c r="G43" i="58"/>
  <c r="Q43" s="1"/>
  <c r="J58" i="64"/>
  <c r="I34" i="76"/>
  <c r="L50" i="58"/>
  <c r="O65" i="64"/>
  <c r="H53" i="58"/>
  <c r="K68" i="64"/>
  <c r="I40" i="76"/>
  <c r="L56" i="58"/>
  <c r="O71" i="64"/>
  <c r="H50" i="76"/>
  <c r="K66" i="58"/>
  <c r="N81" i="64"/>
  <c r="G12" i="76"/>
  <c r="J28" i="58"/>
  <c r="M43" i="64"/>
  <c r="F16" i="76"/>
  <c r="I32" i="58"/>
  <c r="L47" i="64"/>
  <c r="G37" i="58"/>
  <c r="J52" i="64"/>
  <c r="D22" i="76"/>
  <c r="G38" i="58"/>
  <c r="J53" i="64"/>
  <c r="H61" i="58"/>
  <c r="K76" i="64"/>
  <c r="F55" i="76"/>
  <c r="I71" i="58"/>
  <c r="L86" i="64"/>
  <c r="D81" i="76"/>
  <c r="G97" i="58"/>
  <c r="J112" i="64"/>
  <c r="F86" i="76"/>
  <c r="I102" i="58"/>
  <c r="L117" i="64"/>
  <c r="H88" i="76"/>
  <c r="K104" i="58"/>
  <c r="N119" i="64"/>
  <c r="G142" i="76"/>
  <c r="Q142" s="1"/>
  <c r="M173" i="64"/>
  <c r="F143" i="76"/>
  <c r="P143" s="1"/>
  <c r="L174" i="64"/>
  <c r="I5" i="76"/>
  <c r="I29" i="58"/>
  <c r="L44" i="64"/>
  <c r="L45" i="58"/>
  <c r="O60" i="64"/>
  <c r="D36" i="76"/>
  <c r="G52" i="58"/>
  <c r="J67" i="64"/>
  <c r="H48" i="76"/>
  <c r="K64" i="58"/>
  <c r="N79" i="64"/>
  <c r="E69" i="76"/>
  <c r="H85" i="58"/>
  <c r="K100" i="64"/>
  <c r="G70" i="76"/>
  <c r="J86" i="58"/>
  <c r="M101" i="64"/>
  <c r="I73" i="76"/>
  <c r="L89" i="58"/>
  <c r="O104" i="64"/>
  <c r="H74" i="76"/>
  <c r="K90" i="58"/>
  <c r="N105" i="64"/>
  <c r="H78" i="76"/>
  <c r="K94" i="58"/>
  <c r="N109" i="64"/>
  <c r="F83" i="76"/>
  <c r="I99" i="58"/>
  <c r="L114" i="64"/>
  <c r="F85" i="76"/>
  <c r="I101" i="58"/>
  <c r="L116" i="64"/>
  <c r="G89" i="76"/>
  <c r="J105" i="58"/>
  <c r="M120" i="64"/>
  <c r="D91" i="76"/>
  <c r="G107" i="58"/>
  <c r="J122" i="64"/>
  <c r="I91" i="76"/>
  <c r="L107" i="58"/>
  <c r="O122" i="64"/>
  <c r="I114" i="76"/>
  <c r="L130" i="58"/>
  <c r="O145" i="64"/>
  <c r="E118" i="76"/>
  <c r="H134" i="58"/>
  <c r="K149" i="64"/>
  <c r="E121" i="76"/>
  <c r="H137" i="58"/>
  <c r="K152" i="64"/>
  <c r="D130" i="76"/>
  <c r="N130" s="1"/>
  <c r="G146" i="58"/>
  <c r="J161" i="64"/>
  <c r="E150" i="76"/>
  <c r="O150" s="1"/>
  <c r="K181" i="64"/>
  <c r="I15" i="76"/>
  <c r="L31" i="58"/>
  <c r="O46" i="64"/>
  <c r="F30" i="76"/>
  <c r="I46" i="58"/>
  <c r="L61" i="64"/>
  <c r="I43" i="76"/>
  <c r="L59" i="58"/>
  <c r="O74" i="64"/>
  <c r="I77" i="58"/>
  <c r="L92" i="64"/>
  <c r="D89" i="76"/>
  <c r="G105" i="58"/>
  <c r="J120" i="64"/>
  <c r="F93" i="76"/>
  <c r="I109" i="58"/>
  <c r="L124" i="64"/>
  <c r="F79" i="58"/>
  <c r="F94" i="64"/>
  <c r="I30" i="76"/>
  <c r="L46" i="58"/>
  <c r="O61" i="64"/>
  <c r="D34" i="76"/>
  <c r="G50" i="58"/>
  <c r="J65" i="64"/>
  <c r="E36" i="76"/>
  <c r="H52" i="58"/>
  <c r="K67" i="64"/>
  <c r="F39" i="76"/>
  <c r="I55" i="58"/>
  <c r="L70" i="64"/>
  <c r="E52" i="76"/>
  <c r="H68" i="58"/>
  <c r="K83" i="64"/>
  <c r="L77" i="58"/>
  <c r="H64" i="76"/>
  <c r="K80" i="58"/>
  <c r="N95" i="64"/>
  <c r="G68" i="76"/>
  <c r="J84" i="58"/>
  <c r="M99" i="64"/>
  <c r="G71" i="76"/>
  <c r="J87" i="58"/>
  <c r="M102" i="64"/>
  <c r="H5" i="76"/>
  <c r="N36" i="64"/>
  <c r="T36" s="1"/>
  <c r="F10" i="76"/>
  <c r="I26" i="58"/>
  <c r="L41" i="64"/>
  <c r="F27" i="58"/>
  <c r="F42" i="64"/>
  <c r="F55" i="52"/>
  <c r="F71"/>
  <c r="F51" i="58" s="1"/>
  <c r="F87" i="52"/>
  <c r="F67" i="58" s="1"/>
  <c r="F30"/>
  <c r="F45" i="64"/>
  <c r="G45" s="1"/>
  <c r="F15" i="76"/>
  <c r="I31" i="58"/>
  <c r="L46" i="64"/>
  <c r="E16" i="76"/>
  <c r="H32" i="58"/>
  <c r="K47" i="64"/>
  <c r="K37" i="58"/>
  <c r="N52" i="64"/>
  <c r="H22" i="76"/>
  <c r="K38" i="58"/>
  <c r="N53" i="64"/>
  <c r="D26" i="76"/>
  <c r="G42" i="58"/>
  <c r="J57" i="64"/>
  <c r="G27" i="76"/>
  <c r="J43" i="58"/>
  <c r="M58" i="64"/>
  <c r="H30" i="76"/>
  <c r="K46" i="58"/>
  <c r="N61" i="64"/>
  <c r="G34" i="76"/>
  <c r="J50" i="58"/>
  <c r="M65" i="64"/>
  <c r="D39" i="76"/>
  <c r="G55" i="58"/>
  <c r="J70" i="64"/>
  <c r="E42" i="76"/>
  <c r="H58" i="58"/>
  <c r="K73" i="64"/>
  <c r="I42" i="76"/>
  <c r="L58" i="58"/>
  <c r="O73" i="64"/>
  <c r="I44" i="76"/>
  <c r="L60" i="58"/>
  <c r="O75" i="64"/>
  <c r="H47" i="76"/>
  <c r="K63" i="58"/>
  <c r="N78" i="64"/>
  <c r="F50" i="76"/>
  <c r="I66" i="58"/>
  <c r="L81" i="64"/>
  <c r="E51" i="76"/>
  <c r="H67" i="58"/>
  <c r="K82" i="64"/>
  <c r="D55" i="76"/>
  <c r="G71" i="58"/>
  <c r="J86" i="64"/>
  <c r="I60" i="76"/>
  <c r="L76" i="58"/>
  <c r="O91" i="64"/>
  <c r="K77" i="58"/>
  <c r="N92" i="64"/>
  <c r="F71" i="76"/>
  <c r="I87" i="58"/>
  <c r="L102" i="64"/>
  <c r="F75" i="76"/>
  <c r="I91" i="58"/>
  <c r="L106" i="64"/>
  <c r="D80" i="76"/>
  <c r="G96" i="58"/>
  <c r="J111" i="64"/>
  <c r="I80" i="76"/>
  <c r="L96" i="58"/>
  <c r="O111" i="64"/>
  <c r="E86" i="76"/>
  <c r="H102" i="58"/>
  <c r="K117" i="64"/>
  <c r="E90" i="76"/>
  <c r="H106" i="58"/>
  <c r="K121" i="64"/>
  <c r="G94" i="76"/>
  <c r="J110" i="58"/>
  <c r="M125" i="64"/>
  <c r="F104" i="76"/>
  <c r="I120" i="58"/>
  <c r="L135" i="64"/>
  <c r="H106" i="76"/>
  <c r="K122" i="58"/>
  <c r="N137" i="64"/>
  <c r="G109" i="76"/>
  <c r="J125" i="58"/>
  <c r="M140" i="64"/>
  <c r="I111" i="76"/>
  <c r="L127" i="58"/>
  <c r="O142" i="64"/>
  <c r="E120" i="76"/>
  <c r="H136" i="58"/>
  <c r="K151" i="64"/>
  <c r="BQ152" i="76"/>
  <c r="AS152"/>
  <c r="BK152"/>
  <c r="AM152"/>
  <c r="BE152"/>
  <c r="AG152"/>
  <c r="AA152"/>
  <c r="AY152"/>
  <c r="E23"/>
  <c r="H39" i="58"/>
  <c r="K54" i="64"/>
  <c r="F87" i="58"/>
  <c r="F102" i="64"/>
  <c r="H83" i="76"/>
  <c r="K99" i="58"/>
  <c r="N114" i="64"/>
  <c r="E132" i="76"/>
  <c r="O132" s="1"/>
  <c r="K163" i="64"/>
  <c r="H10" i="76"/>
  <c r="K26" i="58"/>
  <c r="N41" i="64"/>
  <c r="I14" i="76"/>
  <c r="L30" i="58"/>
  <c r="O45" i="64"/>
  <c r="F19" i="76"/>
  <c r="I35" i="58"/>
  <c r="L50" i="64"/>
  <c r="H20" i="76"/>
  <c r="K36" i="58"/>
  <c r="N51" i="64"/>
  <c r="H26" i="76"/>
  <c r="K42" i="58"/>
  <c r="N57" i="64"/>
  <c r="I28" i="76"/>
  <c r="L44" i="58"/>
  <c r="O59" i="64"/>
  <c r="K45" i="58"/>
  <c r="N60" i="64"/>
  <c r="F31" i="76"/>
  <c r="I47" i="58"/>
  <c r="L62" i="64"/>
  <c r="H36" i="76"/>
  <c r="K52" i="58"/>
  <c r="N67" i="64"/>
  <c r="G48" i="76"/>
  <c r="J64" i="58"/>
  <c r="M79" i="64"/>
  <c r="D51" i="76"/>
  <c r="G67" i="58"/>
  <c r="J82" i="64"/>
  <c r="F68" i="58"/>
  <c r="F83" i="64"/>
  <c r="E58" i="76"/>
  <c r="H74" i="58"/>
  <c r="K89" i="64"/>
  <c r="I58" i="76"/>
  <c r="L74" i="58"/>
  <c r="O89" i="64"/>
  <c r="E68" i="76"/>
  <c r="H84" i="58"/>
  <c r="K99" i="64"/>
  <c r="H76" i="76"/>
  <c r="K92" i="58"/>
  <c r="N107" i="64"/>
  <c r="G78" i="76"/>
  <c r="J94" i="58"/>
  <c r="M109" i="64"/>
  <c r="G93" i="76"/>
  <c r="J109" i="58"/>
  <c r="M124" i="64"/>
  <c r="I95" i="76"/>
  <c r="L111" i="58"/>
  <c r="O126" i="64"/>
  <c r="E104" i="76"/>
  <c r="H120" i="58"/>
  <c r="K135" i="64"/>
  <c r="G106" i="76"/>
  <c r="J122" i="58"/>
  <c r="M137" i="64"/>
  <c r="F109" i="76"/>
  <c r="I125" i="58"/>
  <c r="L140" i="64"/>
  <c r="H111" i="76"/>
  <c r="K127" i="58"/>
  <c r="N142" i="64"/>
  <c r="I118" i="76"/>
  <c r="L134" i="58"/>
  <c r="O149" i="64"/>
  <c r="E126" i="76"/>
  <c r="H142" i="58"/>
  <c r="K157" i="64"/>
  <c r="D142" i="76"/>
  <c r="N142" s="1"/>
  <c r="G158" i="58"/>
  <c r="J173" i="64"/>
  <c r="I150" i="76"/>
  <c r="S150" s="1"/>
  <c r="L166" i="58"/>
  <c r="O181" i="64"/>
  <c r="S37" i="76"/>
  <c r="R37"/>
  <c r="Z37" s="1"/>
  <c r="Q37"/>
  <c r="P37"/>
  <c r="N37"/>
  <c r="V37" s="1"/>
  <c r="D12"/>
  <c r="G28" i="58"/>
  <c r="J43" i="64"/>
  <c r="E19" i="76"/>
  <c r="H35" i="58"/>
  <c r="K50" i="64"/>
  <c r="G36" i="76"/>
  <c r="J52" i="58"/>
  <c r="M67" i="64"/>
  <c r="G39" i="76"/>
  <c r="J55" i="58"/>
  <c r="M70" i="64"/>
  <c r="I61" i="58"/>
  <c r="L76" i="64"/>
  <c r="F29" i="58"/>
  <c r="F44" i="64"/>
  <c r="F97" i="52"/>
  <c r="F77" i="58" s="1"/>
  <c r="F65" i="52"/>
  <c r="F45" i="58" s="1"/>
  <c r="F81" i="52"/>
  <c r="F61" i="58" s="1"/>
  <c r="F57" i="52"/>
  <c r="F52" i="64" s="1"/>
  <c r="J37" i="58"/>
  <c r="M52" i="64"/>
  <c r="G22" i="76"/>
  <c r="J38" i="58"/>
  <c r="M53" i="64"/>
  <c r="D24" i="76"/>
  <c r="G40" i="58"/>
  <c r="J55" i="64"/>
  <c r="I24" i="76"/>
  <c r="L40" i="58"/>
  <c r="O55" i="64"/>
  <c r="F27" i="76"/>
  <c r="I43" i="58"/>
  <c r="L58" i="64"/>
  <c r="H32" i="76"/>
  <c r="K48" i="58"/>
  <c r="N63" i="64"/>
  <c r="H35" i="76"/>
  <c r="K51" i="58"/>
  <c r="N66" i="64"/>
  <c r="D38" i="76"/>
  <c r="G54" i="58"/>
  <c r="Q54" s="1"/>
  <c r="J69" i="64"/>
  <c r="I38" i="76"/>
  <c r="L54" i="58"/>
  <c r="O69" i="64"/>
  <c r="H44" i="76"/>
  <c r="K60" i="58"/>
  <c r="N75" i="64"/>
  <c r="I50" i="76"/>
  <c r="L66" i="58"/>
  <c r="O81" i="64"/>
  <c r="D54" i="76"/>
  <c r="G70" i="58"/>
  <c r="J85" i="64"/>
  <c r="I54" i="76"/>
  <c r="L70" i="58"/>
  <c r="O85" i="64"/>
  <c r="F62" i="76"/>
  <c r="I78" i="58"/>
  <c r="L93" i="64"/>
  <c r="H63" i="76"/>
  <c r="K79" i="58"/>
  <c r="N94" i="64"/>
  <c r="D68" i="76"/>
  <c r="G84" i="58"/>
  <c r="J99" i="64"/>
  <c r="F85" i="58"/>
  <c r="F100" i="64"/>
  <c r="D71" i="76"/>
  <c r="G87" i="58"/>
  <c r="Q87" s="1"/>
  <c r="J102" i="64"/>
  <c r="F74" i="76"/>
  <c r="I90" i="58"/>
  <c r="L105" i="64"/>
  <c r="E75" i="76"/>
  <c r="H91" i="58"/>
  <c r="K106" i="64"/>
  <c r="E79" i="76"/>
  <c r="H95" i="58"/>
  <c r="K110" i="64"/>
  <c r="G81" i="76"/>
  <c r="J97" i="58"/>
  <c r="M112" i="64"/>
  <c r="I85" i="76"/>
  <c r="L101" i="58"/>
  <c r="O116" i="64"/>
  <c r="E89" i="76"/>
  <c r="H105" i="58"/>
  <c r="K120" i="64"/>
  <c r="G91" i="76"/>
  <c r="J107" i="58"/>
  <c r="M122" i="64"/>
  <c r="F94" i="76"/>
  <c r="I110" i="58"/>
  <c r="L125" i="64"/>
  <c r="F149" i="58"/>
  <c r="F164" i="64"/>
  <c r="H105" i="76"/>
  <c r="K121" i="58"/>
  <c r="N136" i="64"/>
  <c r="E106" i="76"/>
  <c r="H122" i="58"/>
  <c r="K137" i="64"/>
  <c r="G108" i="76"/>
  <c r="J124" i="58"/>
  <c r="M139" i="64"/>
  <c r="F125" i="58"/>
  <c r="F140" i="64"/>
  <c r="I110" i="76"/>
  <c r="L126" i="58"/>
  <c r="O141" i="64"/>
  <c r="F111" i="76"/>
  <c r="I127" i="58"/>
  <c r="L142" i="64"/>
  <c r="F114" i="76"/>
  <c r="I130" i="58"/>
  <c r="L145" i="64"/>
  <c r="H116" i="76"/>
  <c r="K132" i="58"/>
  <c r="N147" i="64"/>
  <c r="E119" i="76"/>
  <c r="H135" i="58"/>
  <c r="K150" i="64"/>
  <c r="D123" i="76"/>
  <c r="G139" i="58"/>
  <c r="J154" i="64"/>
  <c r="E124" i="76"/>
  <c r="H140" i="58"/>
  <c r="K155" i="64"/>
  <c r="E125" i="76"/>
  <c r="H141" i="58"/>
  <c r="K156" i="64"/>
  <c r="F146" i="58"/>
  <c r="F161" i="64"/>
  <c r="I133" i="76"/>
  <c r="S133" s="1"/>
  <c r="L149" i="58"/>
  <c r="O164" i="64"/>
  <c r="K151" i="58"/>
  <c r="J151" s="1"/>
  <c r="I151" s="1"/>
  <c r="H151" s="1"/>
  <c r="N166" i="64"/>
  <c r="D139" i="76"/>
  <c r="N139" s="1"/>
  <c r="G155" i="58"/>
  <c r="J170" i="64"/>
  <c r="G139" i="76"/>
  <c r="Q139" s="1"/>
  <c r="M170" i="64"/>
  <c r="F140" i="76"/>
  <c r="P140" s="1"/>
  <c r="L171" i="64"/>
  <c r="E141" i="76"/>
  <c r="O141" s="1"/>
  <c r="K172" i="64"/>
  <c r="F158" i="58"/>
  <c r="F173" i="64"/>
  <c r="I146" i="76"/>
  <c r="S146" s="1"/>
  <c r="L162" i="58"/>
  <c r="O177" i="64"/>
  <c r="E147" i="76"/>
  <c r="O147" s="1"/>
  <c r="K178" i="64"/>
  <c r="G147" i="76"/>
  <c r="Q147" s="1"/>
  <c r="M178" i="64"/>
  <c r="I147" i="76"/>
  <c r="S147" s="1"/>
  <c r="L163" i="58"/>
  <c r="O178" i="64"/>
  <c r="BC154" i="76"/>
  <c r="AE154"/>
  <c r="AW154"/>
  <c r="Y154"/>
  <c r="BO154"/>
  <c r="AQ154"/>
  <c r="BI154"/>
  <c r="AK154"/>
  <c r="BI153"/>
  <c r="AK153"/>
  <c r="BC153"/>
  <c r="AE153"/>
  <c r="AW153"/>
  <c r="Y153"/>
  <c r="BO153"/>
  <c r="AQ153"/>
  <c r="D10"/>
  <c r="G26" i="58"/>
  <c r="J41" i="64"/>
  <c r="D11" i="76"/>
  <c r="G27" i="58"/>
  <c r="J42" i="64"/>
  <c r="F28" i="58"/>
  <c r="F43" i="64"/>
  <c r="L29" i="58"/>
  <c r="O44" i="64"/>
  <c r="F14" i="76"/>
  <c r="I30" i="58"/>
  <c r="L45" i="64"/>
  <c r="H16" i="76"/>
  <c r="K32" i="58"/>
  <c r="N47" i="64"/>
  <c r="E18" i="76"/>
  <c r="H34" i="58"/>
  <c r="G18" i="76"/>
  <c r="J34" i="58"/>
  <c r="I18" i="76"/>
  <c r="L34" i="58"/>
  <c r="H19" i="76"/>
  <c r="K35" i="58"/>
  <c r="N50" i="64"/>
  <c r="E20" i="76"/>
  <c r="H36" i="58"/>
  <c r="K51" i="64"/>
  <c r="D23" i="76"/>
  <c r="G39" i="58"/>
  <c r="J54" i="64"/>
  <c r="G23" i="76"/>
  <c r="J39" i="58"/>
  <c r="M54" i="64"/>
  <c r="I27" i="76"/>
  <c r="L43" i="58"/>
  <c r="O58" i="64"/>
  <c r="F28" i="76"/>
  <c r="I44" i="58"/>
  <c r="L59" i="64"/>
  <c r="H31" i="76"/>
  <c r="K47" i="58"/>
  <c r="N62" i="64"/>
  <c r="E32" i="76"/>
  <c r="H48" i="58"/>
  <c r="K63" i="64"/>
  <c r="E35" i="76"/>
  <c r="H51" i="58"/>
  <c r="K66" i="64"/>
  <c r="J53" i="58"/>
  <c r="M68" i="64"/>
  <c r="I39" i="76"/>
  <c r="L55" i="58"/>
  <c r="O70" i="64"/>
  <c r="F40" i="76"/>
  <c r="I56" i="58"/>
  <c r="L71" i="64"/>
  <c r="F43" i="76"/>
  <c r="I59" i="58"/>
  <c r="L74" i="64"/>
  <c r="K61" i="58"/>
  <c r="N76" i="64"/>
  <c r="E46" i="76"/>
  <c r="H62" i="58"/>
  <c r="K77" i="64"/>
  <c r="E47" i="76"/>
  <c r="H63" i="58"/>
  <c r="K78" i="64"/>
  <c r="D50" i="76"/>
  <c r="G66" i="58"/>
  <c r="J81" i="64"/>
  <c r="D52" i="76"/>
  <c r="G68" i="58"/>
  <c r="J83" i="64"/>
  <c r="G52" i="76"/>
  <c r="J68" i="58"/>
  <c r="M83" i="64"/>
  <c r="F89" i="52"/>
  <c r="G69" i="58"/>
  <c r="J84" i="64"/>
  <c r="J69" i="58"/>
  <c r="M84" i="64"/>
  <c r="I55" i="76"/>
  <c r="L71" i="58"/>
  <c r="O86" i="64"/>
  <c r="F56" i="76"/>
  <c r="I72" i="58"/>
  <c r="L87" i="64"/>
  <c r="F59" i="76"/>
  <c r="I75" i="58"/>
  <c r="L90" i="64"/>
  <c r="F60" i="76"/>
  <c r="I76" i="58"/>
  <c r="L91" i="64"/>
  <c r="H62" i="76"/>
  <c r="K78" i="58"/>
  <c r="N93" i="64"/>
  <c r="E63" i="76"/>
  <c r="H79" i="58"/>
  <c r="K94" i="64"/>
  <c r="E64" i="76"/>
  <c r="H80" i="58"/>
  <c r="K95" i="64"/>
  <c r="D69" i="76"/>
  <c r="G85" i="58"/>
  <c r="Q85" s="1"/>
  <c r="J100" i="64"/>
  <c r="G69" i="76"/>
  <c r="J85" i="58"/>
  <c r="M100" i="64"/>
  <c r="F86" i="58"/>
  <c r="F101" i="64"/>
  <c r="I71" i="76"/>
  <c r="L87" i="58"/>
  <c r="O102" i="64"/>
  <c r="F73" i="76"/>
  <c r="I89" i="58"/>
  <c r="L104" i="64"/>
  <c r="H75" i="76"/>
  <c r="K91" i="58"/>
  <c r="N106" i="64"/>
  <c r="E76" i="76"/>
  <c r="H92" i="58"/>
  <c r="K107" i="64"/>
  <c r="D79" i="76"/>
  <c r="G95" i="58"/>
  <c r="J110" i="64"/>
  <c r="G79" i="76"/>
  <c r="J95" i="58"/>
  <c r="M110" i="64"/>
  <c r="I81" i="76"/>
  <c r="L97" i="58"/>
  <c r="O112" i="64"/>
  <c r="F84" i="76"/>
  <c r="I100" i="58"/>
  <c r="L115" i="64"/>
  <c r="H86" i="76"/>
  <c r="K102" i="58"/>
  <c r="N117" i="64"/>
  <c r="E88" i="76"/>
  <c r="H104" i="58"/>
  <c r="K119" i="64"/>
  <c r="D90" i="76"/>
  <c r="G106" i="58"/>
  <c r="J121" i="64"/>
  <c r="G90" i="76"/>
  <c r="J106" i="58"/>
  <c r="M121" i="64"/>
  <c r="I93" i="76"/>
  <c r="L109" i="58"/>
  <c r="O124" i="64"/>
  <c r="I94" i="76"/>
  <c r="L110" i="58"/>
  <c r="O125" i="64"/>
  <c r="F95" i="76"/>
  <c r="I111" i="58"/>
  <c r="L126" i="64"/>
  <c r="E103" i="76"/>
  <c r="H119" i="58"/>
  <c r="K134" i="64"/>
  <c r="G103" i="76"/>
  <c r="J119" i="58"/>
  <c r="M134" i="64"/>
  <c r="I103" i="76"/>
  <c r="L119" i="58"/>
  <c r="O134" i="64"/>
  <c r="H104" i="76"/>
  <c r="K120" i="58"/>
  <c r="N135" i="64"/>
  <c r="E105" i="76"/>
  <c r="H121" i="58"/>
  <c r="K136" i="64"/>
  <c r="D108" i="76"/>
  <c r="G124" i="58"/>
  <c r="J139" i="64"/>
  <c r="I109" i="76"/>
  <c r="L125" i="58"/>
  <c r="O140" i="64"/>
  <c r="F110" i="76"/>
  <c r="I126" i="58"/>
  <c r="L141" i="64"/>
  <c r="E113" i="76"/>
  <c r="H129" i="58"/>
  <c r="K144" i="64"/>
  <c r="G113" i="76"/>
  <c r="J129" i="58"/>
  <c r="M144" i="64"/>
  <c r="I113" i="76"/>
  <c r="L129" i="58"/>
  <c r="O144" i="64"/>
  <c r="H115" i="76"/>
  <c r="K131" i="58"/>
  <c r="N146" i="64"/>
  <c r="E116" i="76"/>
  <c r="H132" i="58"/>
  <c r="K147" i="64"/>
  <c r="D120" i="76"/>
  <c r="G136" i="58"/>
  <c r="Q136" s="1"/>
  <c r="J151" i="64"/>
  <c r="G120" i="76"/>
  <c r="J136" i="58"/>
  <c r="M151" i="64"/>
  <c r="F157" i="52"/>
  <c r="D121" i="76"/>
  <c r="G137" i="58"/>
  <c r="J152" i="64"/>
  <c r="G121" i="76"/>
  <c r="J137" i="58"/>
  <c r="M152" i="64"/>
  <c r="F123" i="76"/>
  <c r="I139" i="58"/>
  <c r="L154" i="64"/>
  <c r="H123" i="76"/>
  <c r="K139" i="58"/>
  <c r="N154" i="64"/>
  <c r="D126" i="76"/>
  <c r="G142" i="58"/>
  <c r="Q142" s="1"/>
  <c r="J157" i="64"/>
  <c r="G126" i="76"/>
  <c r="J142" i="58"/>
  <c r="M157" i="64"/>
  <c r="I130" i="76"/>
  <c r="S130" s="1"/>
  <c r="L146" i="58"/>
  <c r="O161" i="64"/>
  <c r="H131" i="76"/>
  <c r="R131" s="1"/>
  <c r="K147" i="58"/>
  <c r="J147" s="1"/>
  <c r="I147" s="1"/>
  <c r="H147" s="1"/>
  <c r="N162" i="64"/>
  <c r="D132" i="76"/>
  <c r="N132" s="1"/>
  <c r="G148" i="58"/>
  <c r="J163" i="64"/>
  <c r="G132" i="76"/>
  <c r="Q132" s="1"/>
  <c r="M163" i="64"/>
  <c r="F133" i="76"/>
  <c r="P133" s="1"/>
  <c r="L164" i="64"/>
  <c r="F155" i="58"/>
  <c r="F170" i="64"/>
  <c r="I142" i="76"/>
  <c r="S142" s="1"/>
  <c r="L158" i="58"/>
  <c r="O173" i="64"/>
  <c r="H143" i="76"/>
  <c r="R143" s="1"/>
  <c r="K159" i="58"/>
  <c r="J159" s="1"/>
  <c r="I159" s="1"/>
  <c r="H159" s="1"/>
  <c r="N174" i="64"/>
  <c r="D144" i="76"/>
  <c r="N144" s="1"/>
  <c r="G160" i="58"/>
  <c r="J175" i="64"/>
  <c r="G144" i="76"/>
  <c r="Q144" s="1"/>
  <c r="M175" i="64"/>
  <c r="F146" i="76"/>
  <c r="P146" s="1"/>
  <c r="L177" i="64"/>
  <c r="D151" i="76"/>
  <c r="N151" s="1"/>
  <c r="G167" i="58"/>
  <c r="J182" i="64"/>
  <c r="G151" i="76"/>
  <c r="Q151" s="1"/>
  <c r="M182" i="64"/>
  <c r="F152" i="76"/>
  <c r="P152" s="1"/>
  <c r="L183" i="64"/>
  <c r="BQ153" i="76"/>
  <c r="AS153"/>
  <c r="BK153"/>
  <c r="AM153"/>
  <c r="BE153"/>
  <c r="AG153"/>
  <c r="AY153"/>
  <c r="AA153"/>
  <c r="J24" i="55"/>
  <c r="F60" i="52"/>
  <c r="F40" i="58" s="1"/>
  <c r="H114" i="76"/>
  <c r="K130" i="58"/>
  <c r="N145" i="64"/>
  <c r="E115" i="76"/>
  <c r="H131" i="58"/>
  <c r="K146" i="64"/>
  <c r="D118" i="76"/>
  <c r="G134" i="58"/>
  <c r="J149" i="64"/>
  <c r="G119" i="76"/>
  <c r="J135" i="58"/>
  <c r="M150" i="64"/>
  <c r="F160" i="52"/>
  <c r="D124" i="76"/>
  <c r="G140" i="58"/>
  <c r="Q140" s="1"/>
  <c r="J155" i="64"/>
  <c r="F161" i="52"/>
  <c r="D125" i="76"/>
  <c r="G141" i="58"/>
  <c r="Q141" s="1"/>
  <c r="J156" i="64"/>
  <c r="F130" i="76"/>
  <c r="P130" s="1"/>
  <c r="L161" i="64"/>
  <c r="E131" i="76"/>
  <c r="O131" s="1"/>
  <c r="K162" i="64"/>
  <c r="F148" i="58"/>
  <c r="F163" i="64"/>
  <c r="I139" i="76"/>
  <c r="S139" s="1"/>
  <c r="L155" i="58"/>
  <c r="O170" i="64"/>
  <c r="H140" i="76"/>
  <c r="R140" s="1"/>
  <c r="K156" i="58"/>
  <c r="J156" s="1"/>
  <c r="I156" s="1"/>
  <c r="H156" s="1"/>
  <c r="N171" i="64"/>
  <c r="D141" i="76"/>
  <c r="N141" s="1"/>
  <c r="G157" i="58"/>
  <c r="J172" i="64"/>
  <c r="G141" i="76"/>
  <c r="Q141" s="1"/>
  <c r="M172" i="64"/>
  <c r="F142" i="76"/>
  <c r="P142" s="1"/>
  <c r="L173" i="64"/>
  <c r="E143" i="76"/>
  <c r="O143" s="1"/>
  <c r="K174" i="64"/>
  <c r="F160" i="58"/>
  <c r="F175" i="64"/>
  <c r="D150" i="76"/>
  <c r="N150" s="1"/>
  <c r="G166" i="58"/>
  <c r="J181" i="64"/>
  <c r="F167" i="58"/>
  <c r="F182" i="64"/>
  <c r="BJ153" i="76"/>
  <c r="AL153"/>
  <c r="BD153"/>
  <c r="AF153"/>
  <c r="AX153"/>
  <c r="Z153"/>
  <c r="BP153"/>
  <c r="AR153"/>
  <c r="BB154"/>
  <c r="AD154"/>
  <c r="AV154"/>
  <c r="X154"/>
  <c r="BN154"/>
  <c r="AP154"/>
  <c r="BH154"/>
  <c r="AJ154"/>
  <c r="BP152"/>
  <c r="AR152"/>
  <c r="BJ152"/>
  <c r="AL152"/>
  <c r="AF152"/>
  <c r="BD152"/>
  <c r="AX152"/>
  <c r="Z152"/>
  <c r="I11"/>
  <c r="L27" i="58"/>
  <c r="O42" i="64"/>
  <c r="F12" i="76"/>
  <c r="I28" i="58"/>
  <c r="L43" i="64"/>
  <c r="H14" i="76"/>
  <c r="K30" i="58"/>
  <c r="N45" i="64"/>
  <c r="E15" i="76"/>
  <c r="H31" i="58"/>
  <c r="K46" i="64"/>
  <c r="D18" i="76"/>
  <c r="G34" i="58"/>
  <c r="D20" i="76"/>
  <c r="G36" i="58"/>
  <c r="J51" i="64"/>
  <c r="G20" i="76"/>
  <c r="J36" i="58"/>
  <c r="M51" i="64"/>
  <c r="I23" i="76"/>
  <c r="L39" i="58"/>
  <c r="O54" i="64"/>
  <c r="F24" i="76"/>
  <c r="I40" i="58"/>
  <c r="L55" i="64"/>
  <c r="H28" i="76"/>
  <c r="K44" i="58"/>
  <c r="N59" i="64"/>
  <c r="H45" i="58"/>
  <c r="K60" i="64"/>
  <c r="E30" i="76"/>
  <c r="H46" i="58"/>
  <c r="K61" i="64"/>
  <c r="D32" i="76"/>
  <c r="G48" i="58"/>
  <c r="J63" i="64"/>
  <c r="F63" s="1"/>
  <c r="G63" s="1"/>
  <c r="G32" i="76"/>
  <c r="J48" i="58"/>
  <c r="M63" i="64"/>
  <c r="F34" i="76"/>
  <c r="I50" i="58"/>
  <c r="L65" i="64"/>
  <c r="H34" i="76"/>
  <c r="K50" i="58"/>
  <c r="N65" i="64"/>
  <c r="D35" i="76"/>
  <c r="G51" i="58"/>
  <c r="J66" i="64"/>
  <c r="G35" i="76"/>
  <c r="J51" i="58"/>
  <c r="M66" i="64"/>
  <c r="L53" i="58"/>
  <c r="O68" i="64"/>
  <c r="F38" i="76"/>
  <c r="I54" i="58"/>
  <c r="L69" i="64"/>
  <c r="H40" i="76"/>
  <c r="K56" i="58"/>
  <c r="N71" i="64"/>
  <c r="H43" i="76"/>
  <c r="K59" i="58"/>
  <c r="N74" i="64"/>
  <c r="E44" i="76"/>
  <c r="H60" i="58"/>
  <c r="K75" i="64"/>
  <c r="D46" i="76"/>
  <c r="G62" i="58"/>
  <c r="J77" i="64"/>
  <c r="G46" i="76"/>
  <c r="J62" i="58"/>
  <c r="M77" i="64"/>
  <c r="F83" i="52"/>
  <c r="D47" i="76"/>
  <c r="G63" i="58"/>
  <c r="J78" i="64"/>
  <c r="G47" i="76"/>
  <c r="J63" i="58"/>
  <c r="M78" i="64"/>
  <c r="I52" i="76"/>
  <c r="L68" i="58"/>
  <c r="O83" i="64"/>
  <c r="L69" i="58"/>
  <c r="O84" i="64"/>
  <c r="F54" i="76"/>
  <c r="I70" i="58"/>
  <c r="L85" i="64"/>
  <c r="H56" i="76"/>
  <c r="K72" i="58"/>
  <c r="N87" i="64"/>
  <c r="H59" i="76"/>
  <c r="K75" i="58"/>
  <c r="N90" i="64"/>
  <c r="H60" i="76"/>
  <c r="K76" i="58"/>
  <c r="N91" i="64"/>
  <c r="H77" i="58"/>
  <c r="G77" s="1"/>
  <c r="K92" i="64"/>
  <c r="D63" i="76"/>
  <c r="G79" i="58"/>
  <c r="J94" i="64"/>
  <c r="G63" i="76"/>
  <c r="J79" i="58"/>
  <c r="M94" i="64"/>
  <c r="F100" i="52"/>
  <c r="D64" i="76"/>
  <c r="G80" i="58"/>
  <c r="J95" i="64"/>
  <c r="G64" i="76"/>
  <c r="J80" i="58"/>
  <c r="M95" i="64"/>
  <c r="I69" i="76"/>
  <c r="L85" i="58"/>
  <c r="O100" i="64"/>
  <c r="F70" i="76"/>
  <c r="I86" i="58"/>
  <c r="L101" i="64"/>
  <c r="H73" i="76"/>
  <c r="K89" i="58"/>
  <c r="N104" i="64"/>
  <c r="E74" i="76"/>
  <c r="H90" i="58"/>
  <c r="K105" i="64"/>
  <c r="D76" i="76"/>
  <c r="G92" i="58"/>
  <c r="Q92" s="1"/>
  <c r="J107" i="64"/>
  <c r="G76" i="76"/>
  <c r="J92" i="58"/>
  <c r="M107" i="64"/>
  <c r="I79" i="76"/>
  <c r="L95" i="58"/>
  <c r="O110" i="64"/>
  <c r="F80" i="76"/>
  <c r="I96" i="58"/>
  <c r="L111" i="64"/>
  <c r="E83" i="76"/>
  <c r="H99" i="58"/>
  <c r="K114" i="64"/>
  <c r="G83" i="76"/>
  <c r="J99" i="58"/>
  <c r="M114" i="64"/>
  <c r="I83" i="76"/>
  <c r="L99" i="58"/>
  <c r="O114" i="64"/>
  <c r="H84" i="76"/>
  <c r="K100" i="58"/>
  <c r="N115" i="64"/>
  <c r="E85" i="76"/>
  <c r="H101" i="58"/>
  <c r="K116" i="64"/>
  <c r="D88" i="76"/>
  <c r="G104" i="58"/>
  <c r="J119" i="64"/>
  <c r="G88" i="76"/>
  <c r="J104" i="58"/>
  <c r="M119" i="64"/>
  <c r="I90" i="76"/>
  <c r="L106" i="58"/>
  <c r="O121" i="64"/>
  <c r="F91" i="76"/>
  <c r="I107" i="58"/>
  <c r="L122" i="64"/>
  <c r="H95" i="76"/>
  <c r="K111" i="58"/>
  <c r="N126" i="64"/>
  <c r="D105" i="76"/>
  <c r="G121" i="58"/>
  <c r="J136" i="64"/>
  <c r="G105" i="76"/>
  <c r="J121" i="58"/>
  <c r="M136" i="64"/>
  <c r="F108" i="76"/>
  <c r="I124" i="58"/>
  <c r="L139" i="64"/>
  <c r="H110" i="76"/>
  <c r="K126" i="58"/>
  <c r="N141" i="64"/>
  <c r="E111" i="76"/>
  <c r="H127" i="58"/>
  <c r="K142" i="64"/>
  <c r="E114" i="76"/>
  <c r="H130" i="58"/>
  <c r="K145" i="64"/>
  <c r="D116" i="76"/>
  <c r="G132" i="58"/>
  <c r="J147" i="64"/>
  <c r="G116" i="76"/>
  <c r="J132" i="58"/>
  <c r="M147" i="64"/>
  <c r="F118" i="76"/>
  <c r="I134" i="58"/>
  <c r="L149" i="64"/>
  <c r="H118" i="76"/>
  <c r="K134" i="58"/>
  <c r="N149" i="64"/>
  <c r="I120" i="76"/>
  <c r="L136" i="58"/>
  <c r="O151" i="64"/>
  <c r="I121" i="76"/>
  <c r="L137" i="58"/>
  <c r="O152" i="64"/>
  <c r="I126" i="76"/>
  <c r="L142" i="58"/>
  <c r="O157" i="64"/>
  <c r="I132" i="76"/>
  <c r="S132" s="1"/>
  <c r="L148" i="58"/>
  <c r="O163" i="64"/>
  <c r="H133" i="76"/>
  <c r="R133" s="1"/>
  <c r="K149" i="58"/>
  <c r="J149" s="1"/>
  <c r="I149" s="1"/>
  <c r="H149" s="1"/>
  <c r="N164" i="64"/>
  <c r="G151" i="58"/>
  <c r="J166" i="64"/>
  <c r="Q166" s="1"/>
  <c r="F139" i="76"/>
  <c r="P139" s="1"/>
  <c r="L170" i="64"/>
  <c r="E140" i="76"/>
  <c r="O140" s="1"/>
  <c r="K171" i="64"/>
  <c r="F157" i="58"/>
  <c r="F172" i="64"/>
  <c r="I144" i="76"/>
  <c r="S144" s="1"/>
  <c r="L160" i="58"/>
  <c r="O175" i="64"/>
  <c r="H146" i="76"/>
  <c r="R146" s="1"/>
  <c r="K162" i="58"/>
  <c r="J162" s="1"/>
  <c r="I162" s="1"/>
  <c r="H162" s="1"/>
  <c r="N177" i="64"/>
  <c r="D147" i="76"/>
  <c r="N147" s="1"/>
  <c r="G163" i="58"/>
  <c r="J178" i="64"/>
  <c r="F166" i="58"/>
  <c r="F181" i="64"/>
  <c r="F150" i="76"/>
  <c r="P150" s="1"/>
  <c r="L181" i="64"/>
  <c r="H150" i="76"/>
  <c r="R150" s="1"/>
  <c r="K166" i="58"/>
  <c r="J166" s="1"/>
  <c r="I166" s="1"/>
  <c r="H166" s="1"/>
  <c r="N181" i="64"/>
  <c r="I151" i="76"/>
  <c r="S151" s="1"/>
  <c r="L167" i="58"/>
  <c r="O182" i="64"/>
  <c r="BB153" i="76"/>
  <c r="AD153"/>
  <c r="AV153"/>
  <c r="X153"/>
  <c r="BN153"/>
  <c r="AP153"/>
  <c r="BH153"/>
  <c r="AJ153"/>
  <c r="F72" i="52"/>
  <c r="F52" i="58" s="1"/>
  <c r="F84" i="52"/>
  <c r="F79" i="64" s="1"/>
  <c r="F155" i="52"/>
  <c r="J168" i="58"/>
  <c r="I168" s="1"/>
  <c r="D119" i="76"/>
  <c r="G135" i="58"/>
  <c r="Q135" s="1"/>
  <c r="J150" i="64"/>
  <c r="G124" i="76"/>
  <c r="J140" i="58"/>
  <c r="M155" i="64"/>
  <c r="G125" i="76"/>
  <c r="J141" i="58"/>
  <c r="M156" i="64"/>
  <c r="F142" i="58"/>
  <c r="F157" i="64"/>
  <c r="G5" i="76"/>
  <c r="F5" s="1"/>
  <c r="M36" i="64"/>
  <c r="K29" i="58"/>
  <c r="N44" i="64"/>
  <c r="E14" i="76"/>
  <c r="H30" i="58"/>
  <c r="K45" i="64"/>
  <c r="D16" i="76"/>
  <c r="G32" i="58"/>
  <c r="J47" i="64"/>
  <c r="G16" i="76"/>
  <c r="J32" i="58"/>
  <c r="M47" i="64"/>
  <c r="D19" i="76"/>
  <c r="G35" i="58"/>
  <c r="J50" i="64"/>
  <c r="G19" i="76"/>
  <c r="J35" i="58"/>
  <c r="M50" i="64"/>
  <c r="I22" i="76"/>
  <c r="L38" i="58"/>
  <c r="O53" i="64"/>
  <c r="F23" i="76"/>
  <c r="I39" i="58"/>
  <c r="L54" i="64"/>
  <c r="E26" i="76"/>
  <c r="H42" i="58"/>
  <c r="K57" i="64"/>
  <c r="G26" i="76"/>
  <c r="J42" i="58"/>
  <c r="M57" i="64"/>
  <c r="I26" i="76"/>
  <c r="L42" i="58"/>
  <c r="O57" i="64"/>
  <c r="H27" i="76"/>
  <c r="K43" i="58"/>
  <c r="N58" i="64"/>
  <c r="E28" i="76"/>
  <c r="H44" i="58"/>
  <c r="K59" i="64"/>
  <c r="D31" i="76"/>
  <c r="G47" i="58"/>
  <c r="J62" i="64"/>
  <c r="G31" i="76"/>
  <c r="J47" i="58"/>
  <c r="M62" i="64"/>
  <c r="I36" i="76"/>
  <c r="L52" i="58"/>
  <c r="O67" i="64"/>
  <c r="I53" i="58"/>
  <c r="L68" i="64"/>
  <c r="H39" i="76"/>
  <c r="K55" i="58"/>
  <c r="N70" i="64"/>
  <c r="E40" i="76"/>
  <c r="H56" i="58"/>
  <c r="K71" i="64"/>
  <c r="E43" i="76"/>
  <c r="H59" i="58"/>
  <c r="K74" i="64"/>
  <c r="G61" i="58"/>
  <c r="J76" i="64"/>
  <c r="J61" i="58"/>
  <c r="M76" i="64"/>
  <c r="I48" i="76"/>
  <c r="L64" i="58"/>
  <c r="O79" i="64"/>
  <c r="I51" i="76"/>
  <c r="L67" i="58"/>
  <c r="O82" i="64"/>
  <c r="F52" i="76"/>
  <c r="I68" i="58"/>
  <c r="L83" i="64"/>
  <c r="I69" i="58"/>
  <c r="L84" i="64"/>
  <c r="H55" i="76"/>
  <c r="K71" i="58"/>
  <c r="N86" i="64"/>
  <c r="E56" i="76"/>
  <c r="H72" i="58"/>
  <c r="K87" i="64"/>
  <c r="E59" i="76"/>
  <c r="H75" i="58"/>
  <c r="K90" i="64"/>
  <c r="E60" i="76"/>
  <c r="H76" i="58"/>
  <c r="K91" i="64"/>
  <c r="D62" i="76"/>
  <c r="G78" i="58"/>
  <c r="J93" i="64"/>
  <c r="G62" i="76"/>
  <c r="J78" i="58"/>
  <c r="M93" i="64"/>
  <c r="I68" i="76"/>
  <c r="L84" i="58"/>
  <c r="O99" i="64"/>
  <c r="F69" i="76"/>
  <c r="I85" i="58"/>
  <c r="L100" i="64"/>
  <c r="H71" i="76"/>
  <c r="K87" i="58"/>
  <c r="N102" i="64"/>
  <c r="E73" i="76"/>
  <c r="H89" i="58"/>
  <c r="K104" i="64"/>
  <c r="D75" i="76"/>
  <c r="G91" i="58"/>
  <c r="J106" i="64"/>
  <c r="G75" i="76"/>
  <c r="J91" i="58"/>
  <c r="M106" i="64"/>
  <c r="I78" i="76"/>
  <c r="L94" i="58"/>
  <c r="O109" i="64"/>
  <c r="F79" i="76"/>
  <c r="I95" i="58"/>
  <c r="L110" i="64"/>
  <c r="H81" i="76"/>
  <c r="K97" i="58"/>
  <c r="N112" i="64"/>
  <c r="E84" i="76"/>
  <c r="H100" i="58"/>
  <c r="K115" i="64"/>
  <c r="D86" i="76"/>
  <c r="G102" i="58"/>
  <c r="J117" i="64"/>
  <c r="G86" i="76"/>
  <c r="J102" i="58"/>
  <c r="M117" i="64"/>
  <c r="I89" i="76"/>
  <c r="L105" i="58"/>
  <c r="O120" i="64"/>
  <c r="F90" i="76"/>
  <c r="I106" i="58"/>
  <c r="L121" i="64"/>
  <c r="H93" i="76"/>
  <c r="K109" i="58"/>
  <c r="N124" i="64"/>
  <c r="H94" i="76"/>
  <c r="K110" i="58"/>
  <c r="N125" i="64"/>
  <c r="E95" i="76"/>
  <c r="H111" i="58"/>
  <c r="K126" i="64"/>
  <c r="D103" i="76"/>
  <c r="G119" i="58"/>
  <c r="J134" i="64"/>
  <c r="D104" i="76"/>
  <c r="G120" i="58"/>
  <c r="J135" i="64"/>
  <c r="G104" i="76"/>
  <c r="J120" i="58"/>
  <c r="M135" i="64"/>
  <c r="I106" i="76"/>
  <c r="L122" i="58"/>
  <c r="O137" i="64"/>
  <c r="H109" i="76"/>
  <c r="K125" i="58"/>
  <c r="N140" i="64"/>
  <c r="E110" i="76"/>
  <c r="H126" i="58"/>
  <c r="K141" i="64"/>
  <c r="D113" i="76"/>
  <c r="G129" i="58"/>
  <c r="J144" i="64"/>
  <c r="D115" i="76"/>
  <c r="G131" i="58"/>
  <c r="Q131" s="1"/>
  <c r="J146" i="64"/>
  <c r="G115" i="76"/>
  <c r="J131" i="58"/>
  <c r="M146" i="64"/>
  <c r="I119" i="76"/>
  <c r="L135" i="58"/>
  <c r="O150" i="64"/>
  <c r="F120" i="76"/>
  <c r="I136" i="58"/>
  <c r="L151" i="64"/>
  <c r="F121" i="76"/>
  <c r="I137" i="58"/>
  <c r="L152" i="64"/>
  <c r="I124" i="76"/>
  <c r="L140" i="58"/>
  <c r="O155" i="64"/>
  <c r="I125" i="76"/>
  <c r="L141" i="58"/>
  <c r="O156" i="64"/>
  <c r="F126" i="76"/>
  <c r="I142" i="58"/>
  <c r="L157" i="64"/>
  <c r="H130" i="76"/>
  <c r="R130" s="1"/>
  <c r="K146" i="58"/>
  <c r="J146" s="1"/>
  <c r="I146" s="1"/>
  <c r="N161" i="64"/>
  <c r="D131" i="76"/>
  <c r="N131" s="1"/>
  <c r="G147" i="58"/>
  <c r="Q147" s="1"/>
  <c r="J162" i="64"/>
  <c r="G131" i="76"/>
  <c r="Q131" s="1"/>
  <c r="M162" i="64"/>
  <c r="F132" i="76"/>
  <c r="P132" s="1"/>
  <c r="L163" i="64"/>
  <c r="E133" i="76"/>
  <c r="O133" s="1"/>
  <c r="K164" i="64"/>
  <c r="F151" i="58"/>
  <c r="F166" i="64"/>
  <c r="I141" i="76"/>
  <c r="S141" s="1"/>
  <c r="L157" i="58"/>
  <c r="O172" i="64"/>
  <c r="H142" i="76"/>
  <c r="R142" s="1"/>
  <c r="K158" i="58"/>
  <c r="J158" s="1"/>
  <c r="I158" s="1"/>
  <c r="H158" s="1"/>
  <c r="N173" i="64"/>
  <c r="D143" i="76"/>
  <c r="N143" s="1"/>
  <c r="G159" i="58"/>
  <c r="J174" i="64"/>
  <c r="G143" i="76"/>
  <c r="Q143" s="1"/>
  <c r="M174" i="64"/>
  <c r="F144" i="76"/>
  <c r="P144" s="1"/>
  <c r="L175" i="64"/>
  <c r="E146" i="76"/>
  <c r="O146" s="1"/>
  <c r="K177" i="64"/>
  <c r="F163" i="58"/>
  <c r="F178" i="64"/>
  <c r="F147" i="76"/>
  <c r="P147" s="1"/>
  <c r="L178" i="64"/>
  <c r="H147" i="76"/>
  <c r="R147" s="1"/>
  <c r="K163" i="58"/>
  <c r="J163" s="1"/>
  <c r="I163" s="1"/>
  <c r="H163" s="1"/>
  <c r="N178" i="64"/>
  <c r="F151" i="76"/>
  <c r="P151" s="1"/>
  <c r="L182" i="64"/>
  <c r="E152" i="76"/>
  <c r="O152" s="1"/>
  <c r="H168" i="58"/>
  <c r="K183" i="64"/>
  <c r="BA153" i="76"/>
  <c r="AC153"/>
  <c r="AU153"/>
  <c r="W153"/>
  <c r="BM153"/>
  <c r="AO153"/>
  <c r="BG153"/>
  <c r="AI153"/>
  <c r="BJ154"/>
  <c r="AL154"/>
  <c r="BD154"/>
  <c r="AF154"/>
  <c r="AX154"/>
  <c r="Z154"/>
  <c r="BP154"/>
  <c r="AR154"/>
  <c r="H12"/>
  <c r="K28" i="58"/>
  <c r="N43" i="64"/>
  <c r="H29" i="58"/>
  <c r="G29" s="1"/>
  <c r="K44" i="64"/>
  <c r="D15" i="76"/>
  <c r="G31" i="58"/>
  <c r="J46" i="64"/>
  <c r="G15" i="76"/>
  <c r="J31" i="58"/>
  <c r="M46" i="64"/>
  <c r="F32" i="58"/>
  <c r="F47" i="64"/>
  <c r="G47" s="1"/>
  <c r="F18" i="76"/>
  <c r="I34" i="58"/>
  <c r="H18" i="76"/>
  <c r="K34" i="58"/>
  <c r="I20" i="76"/>
  <c r="L36" i="58"/>
  <c r="O51" i="64"/>
  <c r="I37" i="58"/>
  <c r="L52" i="64"/>
  <c r="L37" i="58"/>
  <c r="O52" i="64"/>
  <c r="F22" i="76"/>
  <c r="I38" i="58"/>
  <c r="L53" i="64"/>
  <c r="H24" i="76"/>
  <c r="K40" i="58"/>
  <c r="N55" i="64"/>
  <c r="E27" i="76"/>
  <c r="H43" i="58"/>
  <c r="K58" i="64"/>
  <c r="G45" i="58"/>
  <c r="J60" i="64"/>
  <c r="J45" i="58"/>
  <c r="M60" i="64"/>
  <c r="D30" i="76"/>
  <c r="G46" i="58"/>
  <c r="Q46" s="1"/>
  <c r="J61" i="64"/>
  <c r="G30" i="76"/>
  <c r="J46" i="58"/>
  <c r="M61" i="64"/>
  <c r="I32" i="76"/>
  <c r="L48" i="58"/>
  <c r="O63" i="64"/>
  <c r="I35" i="76"/>
  <c r="L51" i="58"/>
  <c r="O66" i="64"/>
  <c r="F36" i="76"/>
  <c r="I52" i="58"/>
  <c r="L67" i="64"/>
  <c r="H38" i="76"/>
  <c r="K54" i="58"/>
  <c r="N69" i="64"/>
  <c r="E39" i="76"/>
  <c r="H55" i="58"/>
  <c r="K70" i="64"/>
  <c r="D42" i="76"/>
  <c r="G58" i="58"/>
  <c r="J73" i="64"/>
  <c r="D44" i="76"/>
  <c r="G60" i="58"/>
  <c r="J75" i="64"/>
  <c r="G44" i="76"/>
  <c r="J60" i="58"/>
  <c r="M75" i="64"/>
  <c r="I46" i="76"/>
  <c r="L62" i="58"/>
  <c r="O77" i="64"/>
  <c r="I47" i="76"/>
  <c r="L63" i="58"/>
  <c r="O78" i="64"/>
  <c r="F48" i="76"/>
  <c r="I64" i="58"/>
  <c r="L79" i="64"/>
  <c r="F51" i="76"/>
  <c r="I67" i="58"/>
  <c r="L82" i="64"/>
  <c r="H54" i="76"/>
  <c r="K70" i="58"/>
  <c r="N85" i="64"/>
  <c r="E55" i="76"/>
  <c r="H71" i="58"/>
  <c r="K86" i="64"/>
  <c r="D58" i="76"/>
  <c r="G74" i="58"/>
  <c r="J89" i="64"/>
  <c r="J77" i="58"/>
  <c r="M92" i="64"/>
  <c r="I63" i="76"/>
  <c r="L79" i="58"/>
  <c r="O94" i="64"/>
  <c r="I64" i="76"/>
  <c r="L80" i="58"/>
  <c r="O95" i="64"/>
  <c r="F68" i="76"/>
  <c r="I84" i="58"/>
  <c r="L99" i="64"/>
  <c r="H70" i="76"/>
  <c r="K86" i="58"/>
  <c r="N101" i="64"/>
  <c r="E71" i="76"/>
  <c r="H87" i="58"/>
  <c r="K102" i="64"/>
  <c r="D74" i="76"/>
  <c r="G90" i="58"/>
  <c r="J105" i="64"/>
  <c r="G74" i="76"/>
  <c r="J90" i="58"/>
  <c r="M105" i="64"/>
  <c r="I76" i="76"/>
  <c r="L92" i="58"/>
  <c r="O107" i="64"/>
  <c r="F78" i="76"/>
  <c r="I94" i="58"/>
  <c r="L109" i="64"/>
  <c r="H80" i="76"/>
  <c r="K96" i="58"/>
  <c r="N111" i="64"/>
  <c r="E81" i="76"/>
  <c r="H97" i="58"/>
  <c r="K112" i="64"/>
  <c r="D85" i="76"/>
  <c r="G101" i="58"/>
  <c r="J116" i="64"/>
  <c r="G85" i="76"/>
  <c r="J101" i="58"/>
  <c r="M116" i="64"/>
  <c r="I88" i="76"/>
  <c r="L104" i="58"/>
  <c r="O119" i="64"/>
  <c r="F89" i="76"/>
  <c r="I105" i="58"/>
  <c r="L120" i="64"/>
  <c r="H91" i="76"/>
  <c r="K107" i="58"/>
  <c r="N122" i="64"/>
  <c r="E93" i="76"/>
  <c r="H109" i="58"/>
  <c r="K124" i="64"/>
  <c r="E94" i="76"/>
  <c r="H110" i="58"/>
  <c r="K125" i="64"/>
  <c r="F103" i="76"/>
  <c r="I119" i="58"/>
  <c r="L134" i="64"/>
  <c r="H103" i="76"/>
  <c r="K119" i="58"/>
  <c r="N134" i="64"/>
  <c r="I105" i="76"/>
  <c r="L121" i="58"/>
  <c r="O136" i="64"/>
  <c r="F106" i="76"/>
  <c r="I122" i="58"/>
  <c r="L137" i="64"/>
  <c r="H108" i="76"/>
  <c r="K124" i="58"/>
  <c r="N139" i="64"/>
  <c r="E109" i="76"/>
  <c r="H125" i="58"/>
  <c r="K140" i="64"/>
  <c r="D111" i="76"/>
  <c r="G127" i="58"/>
  <c r="J142" i="64"/>
  <c r="G111" i="76"/>
  <c r="J127" i="58"/>
  <c r="M142" i="64"/>
  <c r="F113" i="76"/>
  <c r="I129" i="58"/>
  <c r="L144" i="64"/>
  <c r="H113" i="76"/>
  <c r="K129" i="58"/>
  <c r="N144" i="64"/>
  <c r="D114" i="76"/>
  <c r="G130" i="58"/>
  <c r="Q130" s="1"/>
  <c r="J145" i="64"/>
  <c r="G114" i="76"/>
  <c r="J130" i="58"/>
  <c r="M145" i="64"/>
  <c r="I116" i="76"/>
  <c r="L132" i="58"/>
  <c r="O147" i="64"/>
  <c r="F119" i="76"/>
  <c r="I135" i="58"/>
  <c r="L150" i="64"/>
  <c r="E123" i="76"/>
  <c r="H139" i="58"/>
  <c r="K154" i="64"/>
  <c r="G123" i="76"/>
  <c r="J139" i="58"/>
  <c r="M154" i="64"/>
  <c r="I123" i="76"/>
  <c r="L139" i="58"/>
  <c r="O154" i="64"/>
  <c r="F124" i="76"/>
  <c r="I140" i="58"/>
  <c r="L155" i="64"/>
  <c r="F125" i="76"/>
  <c r="I141" i="58"/>
  <c r="L156" i="64"/>
  <c r="E130" i="76"/>
  <c r="O130" s="1"/>
  <c r="H146" i="58"/>
  <c r="K161" i="64"/>
  <c r="F147" i="58"/>
  <c r="F162" i="64"/>
  <c r="L151" i="58"/>
  <c r="O166" i="64"/>
  <c r="H139" i="76"/>
  <c r="R139" s="1"/>
  <c r="K155" i="58"/>
  <c r="J155" s="1"/>
  <c r="I155" s="1"/>
  <c r="H155" s="1"/>
  <c r="N170" i="64"/>
  <c r="D140" i="76"/>
  <c r="N140" s="1"/>
  <c r="G156" i="58"/>
  <c r="Q156" s="1"/>
  <c r="J171" i="64"/>
  <c r="G140" i="76"/>
  <c r="Q140" s="1"/>
  <c r="M171" i="64"/>
  <c r="F141" i="76"/>
  <c r="P141" s="1"/>
  <c r="L172" i="64"/>
  <c r="E142" i="76"/>
  <c r="O142" s="1"/>
  <c r="K173" i="64"/>
  <c r="F159" i="58"/>
  <c r="F174" i="64"/>
  <c r="AT154" i="76"/>
  <c r="V154"/>
  <c r="BL154"/>
  <c r="AN154"/>
  <c r="BF154"/>
  <c r="AH154"/>
  <c r="AZ154"/>
  <c r="AB154"/>
  <c r="AU154"/>
  <c r="W154"/>
  <c r="BM154"/>
  <c r="AO154"/>
  <c r="BG154"/>
  <c r="AI154"/>
  <c r="BA154"/>
  <c r="AC154"/>
  <c r="AT153"/>
  <c r="V153"/>
  <c r="BL153"/>
  <c r="AN153"/>
  <c r="BF153"/>
  <c r="AH153"/>
  <c r="AZ153"/>
  <c r="AB153"/>
  <c r="J43" i="55"/>
  <c r="J41"/>
  <c r="J40"/>
  <c r="J81"/>
  <c r="J79"/>
  <c r="J75"/>
  <c r="J76"/>
  <c r="J86"/>
  <c r="J87"/>
  <c r="J77"/>
  <c r="J89"/>
  <c r="J88" s="1"/>
  <c r="J78"/>
  <c r="J63"/>
  <c r="J64"/>
  <c r="J65"/>
  <c r="J85"/>
  <c r="J66"/>
  <c r="J74"/>
  <c r="J61"/>
  <c r="M60" s="1"/>
  <c r="G101" i="64" s="1"/>
  <c r="J62" i="55"/>
  <c r="J82"/>
  <c r="J56"/>
  <c r="J60"/>
  <c r="J70"/>
  <c r="J57"/>
  <c r="J53"/>
  <c r="J55"/>
  <c r="J54"/>
  <c r="J38"/>
  <c r="J37"/>
  <c r="J26"/>
  <c r="J25"/>
  <c r="J27"/>
  <c r="L36" i="64"/>
  <c r="E10" i="76"/>
  <c r="H26" i="58"/>
  <c r="K41" i="64"/>
  <c r="G10" i="76"/>
  <c r="J26" i="58"/>
  <c r="M41" i="64"/>
  <c r="I10" i="76"/>
  <c r="L26" i="58"/>
  <c r="O41" i="64"/>
  <c r="E12" i="76"/>
  <c r="H28" i="58"/>
  <c r="K43" i="64"/>
  <c r="D14" i="76"/>
  <c r="G30" i="58"/>
  <c r="J45" i="64"/>
  <c r="G14" i="76"/>
  <c r="J30" i="58"/>
  <c r="M45" i="64"/>
  <c r="F31" i="58"/>
  <c r="F46" i="64"/>
  <c r="I16" i="76"/>
  <c r="L32" i="58"/>
  <c r="O47" i="64"/>
  <c r="I19" i="76"/>
  <c r="L35" i="58"/>
  <c r="O50" i="64"/>
  <c r="F20" i="76"/>
  <c r="I36" i="58"/>
  <c r="L51" i="64"/>
  <c r="H23" i="76"/>
  <c r="K39" i="58"/>
  <c r="N54" i="64"/>
  <c r="E24" i="76"/>
  <c r="H40" i="58"/>
  <c r="K55" i="64"/>
  <c r="D28" i="76"/>
  <c r="G44" i="58"/>
  <c r="Q44" s="1"/>
  <c r="J59" i="64"/>
  <c r="G28" i="76"/>
  <c r="J44" i="58"/>
  <c r="M59" i="64"/>
  <c r="I31" i="76"/>
  <c r="L47" i="58"/>
  <c r="O62" i="64"/>
  <c r="F32" i="76"/>
  <c r="I48" i="58"/>
  <c r="L63" i="64"/>
  <c r="F35" i="76"/>
  <c r="I51" i="58"/>
  <c r="L66" i="64"/>
  <c r="K53" i="58"/>
  <c r="N68" i="64"/>
  <c r="E38" i="76"/>
  <c r="H54" i="58"/>
  <c r="K69" i="64"/>
  <c r="D40" i="76"/>
  <c r="G56" i="58"/>
  <c r="J71" i="64"/>
  <c r="G40" i="76"/>
  <c r="J56" i="58"/>
  <c r="M71" i="64"/>
  <c r="F42" i="76"/>
  <c r="I58" i="58"/>
  <c r="L73" i="64"/>
  <c r="H42" i="76"/>
  <c r="K58" i="58"/>
  <c r="N73" i="64"/>
  <c r="D43" i="76"/>
  <c r="G59" i="58"/>
  <c r="J74" i="64"/>
  <c r="G43" i="76"/>
  <c r="J59" i="58"/>
  <c r="M74" i="64"/>
  <c r="L61" i="58"/>
  <c r="O76" i="64"/>
  <c r="F46" i="76"/>
  <c r="I62" i="58"/>
  <c r="L77" i="64"/>
  <c r="F47" i="76"/>
  <c r="I63" i="58"/>
  <c r="L78" i="64"/>
  <c r="E50" i="76"/>
  <c r="H66" i="58"/>
  <c r="K81" i="64"/>
  <c r="G50" i="76"/>
  <c r="J66" i="58"/>
  <c r="M81" i="64"/>
  <c r="H52" i="76"/>
  <c r="K68" i="58"/>
  <c r="N83" i="64"/>
  <c r="K69" i="58"/>
  <c r="N84" i="64"/>
  <c r="E54" i="76"/>
  <c r="H70" i="58"/>
  <c r="K85" i="64"/>
  <c r="D56" i="76"/>
  <c r="G72" i="58"/>
  <c r="J87" i="64"/>
  <c r="G56" i="76"/>
  <c r="J72" i="58"/>
  <c r="M87" i="64"/>
  <c r="F58" i="76"/>
  <c r="I74" i="58"/>
  <c r="L89" i="64"/>
  <c r="H58" i="76"/>
  <c r="K74" i="58"/>
  <c r="N89" i="64"/>
  <c r="F95" i="52"/>
  <c r="D59" i="76"/>
  <c r="G75" i="58"/>
  <c r="J90" i="64"/>
  <c r="G59" i="76"/>
  <c r="J75" i="58"/>
  <c r="M90" i="64"/>
  <c r="F96" i="52"/>
  <c r="D60" i="76"/>
  <c r="G76" i="58"/>
  <c r="J91" i="64"/>
  <c r="G60" i="76"/>
  <c r="J76" i="58"/>
  <c r="M91" i="64"/>
  <c r="I62" i="76"/>
  <c r="L78" i="58"/>
  <c r="O93" i="64"/>
  <c r="F63" i="76"/>
  <c r="I79" i="58"/>
  <c r="L94" i="64"/>
  <c r="F64" i="76"/>
  <c r="I80" i="58"/>
  <c r="L95" i="64"/>
  <c r="H69" i="76"/>
  <c r="K85" i="58"/>
  <c r="N100" i="64"/>
  <c r="E70" i="76"/>
  <c r="H86" i="58"/>
  <c r="K101" i="64"/>
  <c r="D73" i="76"/>
  <c r="G89" i="58"/>
  <c r="J104" i="64"/>
  <c r="G73" i="76"/>
  <c r="J89" i="58"/>
  <c r="M104" i="64"/>
  <c r="I75" i="76"/>
  <c r="L91" i="58"/>
  <c r="O106" i="64"/>
  <c r="F76" i="76"/>
  <c r="I92" i="58"/>
  <c r="L107" i="64"/>
  <c r="H79" i="76"/>
  <c r="K95" i="58"/>
  <c r="N110" i="64"/>
  <c r="E80" i="76"/>
  <c r="H96" i="58"/>
  <c r="K111" i="64"/>
  <c r="D83" i="76"/>
  <c r="G99" i="58"/>
  <c r="J114" i="64"/>
  <c r="D84" i="76"/>
  <c r="G100" i="58"/>
  <c r="J115" i="64"/>
  <c r="G84" i="76"/>
  <c r="J100" i="58"/>
  <c r="M115" i="64"/>
  <c r="I86" i="76"/>
  <c r="L102" i="58"/>
  <c r="O117" i="64"/>
  <c r="F88" i="76"/>
  <c r="I104" i="58"/>
  <c r="L119" i="64"/>
  <c r="H90" i="76"/>
  <c r="K106" i="58"/>
  <c r="N121" i="64"/>
  <c r="E91" i="76"/>
  <c r="H107" i="58"/>
  <c r="K122" i="64"/>
  <c r="D95" i="76"/>
  <c r="G111" i="58"/>
  <c r="J126" i="64"/>
  <c r="G95" i="76"/>
  <c r="J111" i="58"/>
  <c r="M126" i="64"/>
  <c r="I104" i="76"/>
  <c r="L120" i="58"/>
  <c r="O135" i="64"/>
  <c r="F105" i="76"/>
  <c r="I121" i="58"/>
  <c r="L136" i="64"/>
  <c r="E108" i="76"/>
  <c r="H124" i="58"/>
  <c r="K139" i="64"/>
  <c r="D110" i="76"/>
  <c r="G126" i="58"/>
  <c r="J141" i="64"/>
  <c r="G110" i="76"/>
  <c r="J126" i="58"/>
  <c r="M141" i="64"/>
  <c r="F127" i="58"/>
  <c r="F142" i="64"/>
  <c r="I115" i="76"/>
  <c r="L131" i="58"/>
  <c r="O146" i="64"/>
  <c r="F116" i="76"/>
  <c r="I132" i="58"/>
  <c r="L147" i="64"/>
  <c r="H120" i="76"/>
  <c r="K136" i="58"/>
  <c r="N151" i="64"/>
  <c r="H121" i="76"/>
  <c r="K137" i="58"/>
  <c r="N152" i="64"/>
  <c r="H126" i="76"/>
  <c r="K142" i="58"/>
  <c r="N157" i="64"/>
  <c r="I131" i="76"/>
  <c r="S131" s="1"/>
  <c r="L147" i="58"/>
  <c r="O162" i="64"/>
  <c r="H132" i="76"/>
  <c r="R132" s="1"/>
  <c r="K148" i="58"/>
  <c r="J148" s="1"/>
  <c r="I148" s="1"/>
  <c r="H148" s="1"/>
  <c r="N163" i="64"/>
  <c r="D133" i="76"/>
  <c r="N133" s="1"/>
  <c r="G149" i="58"/>
  <c r="J164" i="64"/>
  <c r="G133" i="76"/>
  <c r="Q133" s="1"/>
  <c r="M164" i="64"/>
  <c r="E139" i="76"/>
  <c r="O139" s="1"/>
  <c r="K170" i="64"/>
  <c r="F156" i="58"/>
  <c r="F171" i="64"/>
  <c r="I143" i="76"/>
  <c r="S143" s="1"/>
  <c r="L159" i="58"/>
  <c r="O174" i="64"/>
  <c r="H144" i="76"/>
  <c r="R144" s="1"/>
  <c r="K160" i="58"/>
  <c r="J160" s="1"/>
  <c r="I160" s="1"/>
  <c r="H160" s="1"/>
  <c r="N175" i="64"/>
  <c r="D146" i="76"/>
  <c r="N146" s="1"/>
  <c r="G162" i="58"/>
  <c r="J177" i="64"/>
  <c r="G146" i="76"/>
  <c r="Q146" s="1"/>
  <c r="M177" i="64"/>
  <c r="H151" i="76"/>
  <c r="R151" s="1"/>
  <c r="K167" i="58"/>
  <c r="J167" s="1"/>
  <c r="I167" s="1"/>
  <c r="H167" s="1"/>
  <c r="N182" i="64"/>
  <c r="D152" i="76"/>
  <c r="N152" s="1"/>
  <c r="G168" i="58"/>
  <c r="J183" i="64"/>
  <c r="G152" i="76"/>
  <c r="Q152" s="1"/>
  <c r="M183" i="64"/>
  <c r="F150" i="52"/>
  <c r="F145" i="64" s="1"/>
  <c r="J21" i="55"/>
  <c r="S181" i="64"/>
  <c r="Q181"/>
  <c r="T181"/>
  <c r="R181"/>
  <c r="S166" l="1"/>
  <c r="S178"/>
  <c r="T178"/>
  <c r="U166"/>
  <c r="R178"/>
  <c r="Q178"/>
  <c r="T84"/>
  <c r="S84"/>
  <c r="U84"/>
  <c r="R84"/>
  <c r="Q84"/>
  <c r="T166"/>
  <c r="R166"/>
  <c r="R49"/>
  <c r="Q76"/>
  <c r="U76"/>
  <c r="S76"/>
  <c r="R76"/>
  <c r="T76"/>
  <c r="Q68"/>
  <c r="T68"/>
  <c r="S68"/>
  <c r="U68"/>
  <c r="R68"/>
  <c r="R60"/>
  <c r="T60"/>
  <c r="S60"/>
  <c r="Q60"/>
  <c r="U60"/>
  <c r="S52"/>
  <c r="Q52"/>
  <c r="T52"/>
  <c r="R52"/>
  <c r="U52"/>
  <c r="Q49"/>
  <c r="U49"/>
  <c r="S49"/>
  <c r="U178"/>
  <c r="T49"/>
  <c r="S101"/>
  <c r="T101"/>
  <c r="Q101"/>
  <c r="U101"/>
  <c r="R101"/>
  <c r="Q45"/>
  <c r="U45"/>
  <c r="N104" i="52"/>
  <c r="X70"/>
  <c r="AC150"/>
  <c r="AC70"/>
  <c r="X150"/>
  <c r="N150"/>
  <c r="AC160"/>
  <c r="AH150"/>
  <c r="AH160"/>
  <c r="S150"/>
  <c r="X109"/>
  <c r="J109"/>
  <c r="X104"/>
  <c r="J104"/>
  <c r="N109"/>
  <c r="S160"/>
  <c r="J160"/>
  <c r="N70"/>
  <c r="AH104"/>
  <c r="X160"/>
  <c r="AH109"/>
  <c r="AH70"/>
  <c r="S70"/>
  <c r="AC104"/>
  <c r="S109"/>
  <c r="S94"/>
  <c r="X94"/>
  <c r="N94"/>
  <c r="AC94"/>
  <c r="AH94"/>
  <c r="J94"/>
  <c r="N129"/>
  <c r="AC129"/>
  <c r="AH129"/>
  <c r="J129"/>
  <c r="X129"/>
  <c r="S129"/>
  <c r="J167"/>
  <c r="X167"/>
  <c r="AC167"/>
  <c r="N167"/>
  <c r="AH167"/>
  <c r="S167"/>
  <c r="N156"/>
  <c r="S156"/>
  <c r="AH156"/>
  <c r="J156"/>
  <c r="X156"/>
  <c r="AC156"/>
  <c r="AC149"/>
  <c r="S149"/>
  <c r="X149"/>
  <c r="AH149"/>
  <c r="N149"/>
  <c r="J149"/>
  <c r="S78"/>
  <c r="J78"/>
  <c r="X78"/>
  <c r="AC78"/>
  <c r="N78"/>
  <c r="AH78"/>
  <c r="X161"/>
  <c r="AC161"/>
  <c r="N161"/>
  <c r="AH161"/>
  <c r="S161"/>
  <c r="J161"/>
  <c r="N95"/>
  <c r="J95"/>
  <c r="AH95"/>
  <c r="AC95"/>
  <c r="X95"/>
  <c r="S95"/>
  <c r="N135"/>
  <c r="S135"/>
  <c r="AH135"/>
  <c r="X135"/>
  <c r="AC135"/>
  <c r="J135"/>
  <c r="AC134"/>
  <c r="S134"/>
  <c r="AH134"/>
  <c r="N134"/>
  <c r="X134"/>
  <c r="J134"/>
  <c r="G29"/>
  <c r="L26"/>
  <c r="L28"/>
  <c r="S46"/>
  <c r="X46"/>
  <c r="J46"/>
  <c r="AC46"/>
  <c r="AH46"/>
  <c r="N46"/>
  <c r="X96"/>
  <c r="S96"/>
  <c r="AC96"/>
  <c r="J96"/>
  <c r="AH96"/>
  <c r="N96"/>
  <c r="J119"/>
  <c r="S119"/>
  <c r="AH119"/>
  <c r="X119"/>
  <c r="N119"/>
  <c r="AC119"/>
  <c r="N155"/>
  <c r="AH155"/>
  <c r="S155"/>
  <c r="X155"/>
  <c r="AC155"/>
  <c r="J155"/>
  <c r="AH54"/>
  <c r="N54"/>
  <c r="S54"/>
  <c r="X54"/>
  <c r="AC54"/>
  <c r="J54"/>
  <c r="N168"/>
  <c r="S168"/>
  <c r="AH168"/>
  <c r="J168"/>
  <c r="AC168"/>
  <c r="X168"/>
  <c r="AC139"/>
  <c r="S139"/>
  <c r="X139"/>
  <c r="AH139"/>
  <c r="N139"/>
  <c r="J139"/>
  <c r="N136"/>
  <c r="S136"/>
  <c r="J136"/>
  <c r="X136"/>
  <c r="AH136"/>
  <c r="AC136"/>
  <c r="X145"/>
  <c r="AC145"/>
  <c r="AH145"/>
  <c r="N145"/>
  <c r="S145"/>
  <c r="J145"/>
  <c r="G30"/>
  <c r="AC169"/>
  <c r="J169"/>
  <c r="X169"/>
  <c r="S169"/>
  <c r="N169"/>
  <c r="AH169"/>
  <c r="X154"/>
  <c r="N154"/>
  <c r="AH154"/>
  <c r="AC154"/>
  <c r="J154"/>
  <c r="S154"/>
  <c r="S144"/>
  <c r="N144"/>
  <c r="X144"/>
  <c r="AC144"/>
  <c r="J144"/>
  <c r="AH144"/>
  <c r="N124"/>
  <c r="S124"/>
  <c r="X124"/>
  <c r="AC124"/>
  <c r="J124"/>
  <c r="AH124"/>
  <c r="S177"/>
  <c r="X177"/>
  <c r="N177"/>
  <c r="J177"/>
  <c r="AH177"/>
  <c r="AC177"/>
  <c r="AH159"/>
  <c r="N159"/>
  <c r="X159"/>
  <c r="AC159"/>
  <c r="J159"/>
  <c r="S159"/>
  <c r="N146"/>
  <c r="S146"/>
  <c r="X146"/>
  <c r="AC146"/>
  <c r="AH146"/>
  <c r="J146"/>
  <c r="G27"/>
  <c r="J178"/>
  <c r="AH178"/>
  <c r="N178"/>
  <c r="AC178"/>
  <c r="X178"/>
  <c r="S178"/>
  <c r="S114"/>
  <c r="J114"/>
  <c r="X114"/>
  <c r="AC114"/>
  <c r="N114"/>
  <c r="AH114"/>
  <c r="AH86"/>
  <c r="N86"/>
  <c r="X86"/>
  <c r="AC86"/>
  <c r="S86"/>
  <c r="J86"/>
  <c r="AC151"/>
  <c r="AH151"/>
  <c r="J151"/>
  <c r="X151"/>
  <c r="N151"/>
  <c r="S151"/>
  <c r="G28"/>
  <c r="J183"/>
  <c r="N99"/>
  <c r="AH157"/>
  <c r="AH152"/>
  <c r="AC157"/>
  <c r="S99"/>
  <c r="N166"/>
  <c r="X147"/>
  <c r="N147"/>
  <c r="J166"/>
  <c r="AH97"/>
  <c r="AH99"/>
  <c r="J187"/>
  <c r="J186"/>
  <c r="X99"/>
  <c r="AC99"/>
  <c r="AK42"/>
  <c r="Q21" i="58"/>
  <c r="M5" i="76" s="1"/>
  <c r="N5" s="1"/>
  <c r="N137" i="52"/>
  <c r="X183"/>
  <c r="Z183" s="1"/>
  <c r="L29" s="1"/>
  <c r="AH98"/>
  <c r="X187"/>
  <c r="X98"/>
  <c r="AH187"/>
  <c r="S166"/>
  <c r="AH166"/>
  <c r="AC187"/>
  <c r="AH41"/>
  <c r="X41"/>
  <c r="N97"/>
  <c r="AC166"/>
  <c r="AC162"/>
  <c r="J137"/>
  <c r="X97"/>
  <c r="J22" i="58"/>
  <c r="N157" i="52"/>
  <c r="N186"/>
  <c r="J147"/>
  <c r="S147"/>
  <c r="N187"/>
  <c r="K22" i="58"/>
  <c r="N98" i="52"/>
  <c r="J157"/>
  <c r="X137"/>
  <c r="AH137"/>
  <c r="X186"/>
  <c r="J97"/>
  <c r="AH183"/>
  <c r="AJ183" s="1"/>
  <c r="S97"/>
  <c r="N41"/>
  <c r="AC41"/>
  <c r="AC98"/>
  <c r="S152"/>
  <c r="X152"/>
  <c r="N183"/>
  <c r="P183" s="1"/>
  <c r="L27" s="1"/>
  <c r="I22" i="58"/>
  <c r="H22"/>
  <c r="AH162" i="52"/>
  <c r="J98"/>
  <c r="AC186"/>
  <c r="J152"/>
  <c r="AC147"/>
  <c r="AC183"/>
  <c r="AE183" s="1"/>
  <c r="L30" s="1"/>
  <c r="S137"/>
  <c r="S157"/>
  <c r="S41"/>
  <c r="S186"/>
  <c r="AC188"/>
  <c r="AH188"/>
  <c r="S188"/>
  <c r="J162"/>
  <c r="AC152"/>
  <c r="J188"/>
  <c r="N188"/>
  <c r="S162"/>
  <c r="X162"/>
  <c r="G6" i="76"/>
  <c r="F6"/>
  <c r="H6"/>
  <c r="E6"/>
  <c r="Q34" i="58"/>
  <c r="M18" i="76" s="1"/>
  <c r="Q35" i="58"/>
  <c r="M19" i="76" s="1"/>
  <c r="Q99" i="58"/>
  <c r="M83" i="76" s="1"/>
  <c r="Q114" i="58"/>
  <c r="M98" i="76" s="1"/>
  <c r="Q149" i="58"/>
  <c r="Q102"/>
  <c r="M86" i="76" s="1"/>
  <c r="Q69" i="58"/>
  <c r="M53" i="76" s="1"/>
  <c r="Q75" i="58"/>
  <c r="M59" i="76" s="1"/>
  <c r="O59" s="1"/>
  <c r="W59" s="1"/>
  <c r="Q30" i="58"/>
  <c r="M14" i="76" s="1"/>
  <c r="Q29" i="58"/>
  <c r="M13" i="76" s="1"/>
  <c r="Q61" i="58"/>
  <c r="M45" i="76" s="1"/>
  <c r="Q134" i="58"/>
  <c r="M118" i="76" s="1"/>
  <c r="Q37" i="58"/>
  <c r="M21" i="76" s="1"/>
  <c r="Q74" i="58"/>
  <c r="M58" i="76" s="1"/>
  <c r="Q60" i="58"/>
  <c r="M44" i="76" s="1"/>
  <c r="Q119" i="58"/>
  <c r="M103" i="76" s="1"/>
  <c r="Q38" i="58"/>
  <c r="M22" i="76" s="1"/>
  <c r="Q45" i="58"/>
  <c r="M29" i="76" s="1"/>
  <c r="Q66" i="58"/>
  <c r="M50" i="76" s="1"/>
  <c r="Q62" i="58"/>
  <c r="M46" i="76" s="1"/>
  <c r="Q148" i="58"/>
  <c r="Q70"/>
  <c r="M54" i="76" s="1"/>
  <c r="Q67" i="58"/>
  <c r="M51" i="76" s="1"/>
  <c r="Q52" i="58"/>
  <c r="M36" i="76" s="1"/>
  <c r="Q109" i="58"/>
  <c r="M93" i="76" s="1"/>
  <c r="Q76" i="58"/>
  <c r="M60" i="76" s="1"/>
  <c r="Q59" i="58"/>
  <c r="M43" i="76" s="1"/>
  <c r="Q129" i="58"/>
  <c r="M113" i="76" s="1"/>
  <c r="Q124" i="58"/>
  <c r="M108" i="76" s="1"/>
  <c r="Q42" i="58"/>
  <c r="M26" i="76" s="1"/>
  <c r="Q104" i="58"/>
  <c r="M88" i="76" s="1"/>
  <c r="Q51" i="58"/>
  <c r="M35" i="76" s="1"/>
  <c r="Q77" i="58"/>
  <c r="M61" i="76" s="1"/>
  <c r="Q68" i="58"/>
  <c r="M52" i="76" s="1"/>
  <c r="Q26" i="58"/>
  <c r="M10" i="76" s="1"/>
  <c r="Q84" i="58"/>
  <c r="M68" i="76" s="1"/>
  <c r="Q58" i="58"/>
  <c r="M42" i="76" s="1"/>
  <c r="Q36" i="58"/>
  <c r="M20" i="76" s="1"/>
  <c r="Q139" i="58"/>
  <c r="M123" i="76" s="1"/>
  <c r="Q50" i="58"/>
  <c r="M34" i="76" s="1"/>
  <c r="Q89" i="58"/>
  <c r="M73" i="76" s="1"/>
  <c r="Q78" i="58"/>
  <c r="M62" i="76" s="1"/>
  <c r="Q32" i="58"/>
  <c r="M16" i="76" s="1"/>
  <c r="Q28" i="58"/>
  <c r="M12" i="76" s="1"/>
  <c r="Q94" i="58"/>
  <c r="M78" i="76" s="1"/>
  <c r="M116"/>
  <c r="N116" s="1"/>
  <c r="F132" i="58"/>
  <c r="G46" i="64"/>
  <c r="H46"/>
  <c r="BA133" i="76"/>
  <c r="BG133"/>
  <c r="AI133"/>
  <c r="AC133"/>
  <c r="BM133"/>
  <c r="AO133"/>
  <c r="AU133"/>
  <c r="W133"/>
  <c r="AU130"/>
  <c r="AI130"/>
  <c r="BG130"/>
  <c r="BM130"/>
  <c r="AO130"/>
  <c r="W130"/>
  <c r="AC130"/>
  <c r="BA130"/>
  <c r="J92" i="64"/>
  <c r="U92" s="1"/>
  <c r="BI133" i="76"/>
  <c r="Y133"/>
  <c r="AK133"/>
  <c r="AE133"/>
  <c r="BO133"/>
  <c r="AW133"/>
  <c r="AQ133"/>
  <c r="BC133"/>
  <c r="BA131"/>
  <c r="AI131"/>
  <c r="AU131"/>
  <c r="BG131"/>
  <c r="W131"/>
  <c r="AO131"/>
  <c r="AC131"/>
  <c r="BM131"/>
  <c r="BQ133"/>
  <c r="AY133"/>
  <c r="BE133"/>
  <c r="AG133"/>
  <c r="BK133"/>
  <c r="AM133"/>
  <c r="AA133"/>
  <c r="AS133"/>
  <c r="G94" i="64"/>
  <c r="H94"/>
  <c r="G70"/>
  <c r="H70"/>
  <c r="AL131" i="76"/>
  <c r="Z131"/>
  <c r="BP131"/>
  <c r="BD131"/>
  <c r="AX131"/>
  <c r="AR131"/>
  <c r="BJ131"/>
  <c r="AF131"/>
  <c r="AK131"/>
  <c r="BI131"/>
  <c r="BO131"/>
  <c r="AE131"/>
  <c r="AW131"/>
  <c r="Y131"/>
  <c r="AQ131"/>
  <c r="BC131"/>
  <c r="BQ132"/>
  <c r="AS132"/>
  <c r="BE132"/>
  <c r="AM132"/>
  <c r="BK132"/>
  <c r="AY132"/>
  <c r="AG132"/>
  <c r="AA132"/>
  <c r="AN132"/>
  <c r="AT132"/>
  <c r="V132"/>
  <c r="AB132"/>
  <c r="BF132"/>
  <c r="AH132"/>
  <c r="AZ132"/>
  <c r="BL132"/>
  <c r="BM132"/>
  <c r="AC132"/>
  <c r="BA132"/>
  <c r="BG132"/>
  <c r="AU132"/>
  <c r="W132"/>
  <c r="AI132"/>
  <c r="AO132"/>
  <c r="M30"/>
  <c r="AL132"/>
  <c r="BP132"/>
  <c r="AX132"/>
  <c r="Z132"/>
  <c r="AR132"/>
  <c r="BD132"/>
  <c r="BJ132"/>
  <c r="AF132"/>
  <c r="G79" i="64"/>
  <c r="H79"/>
  <c r="C162" i="76"/>
  <c r="AH130"/>
  <c r="BF130"/>
  <c r="AZ130"/>
  <c r="AB130"/>
  <c r="AN130"/>
  <c r="BL130"/>
  <c r="AT130"/>
  <c r="V130"/>
  <c r="BB131"/>
  <c r="AJ131"/>
  <c r="BH131"/>
  <c r="X131"/>
  <c r="AD131"/>
  <c r="BN131"/>
  <c r="AV131"/>
  <c r="AP131"/>
  <c r="H62" i="64"/>
  <c r="G62"/>
  <c r="M115" i="76"/>
  <c r="BJ133"/>
  <c r="BD133"/>
  <c r="AF133"/>
  <c r="AL133"/>
  <c r="Z133"/>
  <c r="AX133"/>
  <c r="AR133"/>
  <c r="BP133"/>
  <c r="AQ132"/>
  <c r="BI132"/>
  <c r="AK132"/>
  <c r="BC132"/>
  <c r="AW132"/>
  <c r="Y132"/>
  <c r="AE132"/>
  <c r="BO132"/>
  <c r="BF133"/>
  <c r="AH133"/>
  <c r="AB133"/>
  <c r="AN133"/>
  <c r="V133"/>
  <c r="AT133"/>
  <c r="AZ133"/>
  <c r="BL133"/>
  <c r="AN131"/>
  <c r="AH131"/>
  <c r="BF131"/>
  <c r="AB131"/>
  <c r="BL131"/>
  <c r="AZ131"/>
  <c r="V131"/>
  <c r="AT131"/>
  <c r="BB130"/>
  <c r="BH130"/>
  <c r="AJ130"/>
  <c r="BN130"/>
  <c r="AD130"/>
  <c r="AP130"/>
  <c r="AV130"/>
  <c r="X130"/>
  <c r="BB133"/>
  <c r="AV133"/>
  <c r="BN133"/>
  <c r="AJ133"/>
  <c r="X133"/>
  <c r="AP133"/>
  <c r="BH133"/>
  <c r="AD133"/>
  <c r="Y130"/>
  <c r="BO130"/>
  <c r="AK130"/>
  <c r="AW130"/>
  <c r="AQ130"/>
  <c r="BI130"/>
  <c r="BC130"/>
  <c r="AE130"/>
  <c r="AS131"/>
  <c r="BE131"/>
  <c r="AA131"/>
  <c r="BK131"/>
  <c r="AY131"/>
  <c r="AM131"/>
  <c r="BQ131"/>
  <c r="AG131"/>
  <c r="J44" i="64"/>
  <c r="U44" s="1"/>
  <c r="BB132" i="76"/>
  <c r="BN132"/>
  <c r="AJ132"/>
  <c r="AV132"/>
  <c r="AD132"/>
  <c r="X132"/>
  <c r="AP132"/>
  <c r="BH132"/>
  <c r="BJ130"/>
  <c r="BP130"/>
  <c r="AF130"/>
  <c r="BD130"/>
  <c r="AR130"/>
  <c r="AX130"/>
  <c r="Z130"/>
  <c r="AL130"/>
  <c r="BK130"/>
  <c r="AG130"/>
  <c r="BE130"/>
  <c r="AY130"/>
  <c r="AA130"/>
  <c r="AS130"/>
  <c r="BQ130"/>
  <c r="AM130"/>
  <c r="M114"/>
  <c r="H87" i="64"/>
  <c r="H63"/>
  <c r="H47"/>
  <c r="H45"/>
  <c r="M15" i="76"/>
  <c r="R15" s="1"/>
  <c r="M31"/>
  <c r="M32"/>
  <c r="F11"/>
  <c r="I27" i="58"/>
  <c r="J27"/>
  <c r="G11" i="76"/>
  <c r="L42" i="64"/>
  <c r="R45" s="1"/>
  <c r="M42"/>
  <c r="S45" s="1"/>
  <c r="M48" i="76"/>
  <c r="M24"/>
  <c r="F59" i="64"/>
  <c r="F71"/>
  <c r="G71" s="1"/>
  <c r="F86"/>
  <c r="F55" i="58"/>
  <c r="F54" i="64"/>
  <c r="F47" i="58"/>
  <c r="F51" i="64"/>
  <c r="M84" i="76"/>
  <c r="O84" s="1"/>
  <c r="F76" i="64"/>
  <c r="F82"/>
  <c r="M40" i="76"/>
  <c r="P40" s="1"/>
  <c r="M119"/>
  <c r="Q119" s="1"/>
  <c r="F92" i="64"/>
  <c r="F75"/>
  <c r="F60"/>
  <c r="M124" i="76"/>
  <c r="M80"/>
  <c r="N80" s="1"/>
  <c r="M74"/>
  <c r="R74" s="1"/>
  <c r="M89"/>
  <c r="O89" s="1"/>
  <c r="BP140"/>
  <c r="AR140"/>
  <c r="BJ140"/>
  <c r="AL140"/>
  <c r="BD140"/>
  <c r="AX140"/>
  <c r="Z140"/>
  <c r="AF140"/>
  <c r="BA152"/>
  <c r="AC152"/>
  <c r="AU152"/>
  <c r="W152"/>
  <c r="AI152"/>
  <c r="BM152"/>
  <c r="AO152"/>
  <c r="BG152"/>
  <c r="AX150"/>
  <c r="Z150"/>
  <c r="BP150"/>
  <c r="AR150"/>
  <c r="BJ150"/>
  <c r="AL150"/>
  <c r="BD150"/>
  <c r="AF150"/>
  <c r="BO151"/>
  <c r="AQ151"/>
  <c r="BI151"/>
  <c r="AK151"/>
  <c r="BC151"/>
  <c r="AE151"/>
  <c r="AW151"/>
  <c r="Y151"/>
  <c r="AY150"/>
  <c r="AA150"/>
  <c r="BQ150"/>
  <c r="AS150"/>
  <c r="BK150"/>
  <c r="AM150"/>
  <c r="BE150"/>
  <c r="AG150"/>
  <c r="F38" i="58"/>
  <c r="F53" i="64"/>
  <c r="G53" s="1"/>
  <c r="BO150" i="76"/>
  <c r="AQ150"/>
  <c r="BI150"/>
  <c r="AK150"/>
  <c r="BC150"/>
  <c r="AE150"/>
  <c r="AW150"/>
  <c r="Y150"/>
  <c r="BB141"/>
  <c r="AD141"/>
  <c r="AJ141"/>
  <c r="AV141"/>
  <c r="X141"/>
  <c r="BN141"/>
  <c r="AP141"/>
  <c r="BH141"/>
  <c r="BP139"/>
  <c r="BJ139"/>
  <c r="AL139"/>
  <c r="BD139"/>
  <c r="AF139"/>
  <c r="AX139"/>
  <c r="Z139"/>
  <c r="AR139"/>
  <c r="BN147"/>
  <c r="AP147"/>
  <c r="BH147"/>
  <c r="AJ147"/>
  <c r="X147"/>
  <c r="BB147"/>
  <c r="AD147"/>
  <c r="AV147"/>
  <c r="BC143"/>
  <c r="AE143"/>
  <c r="AW143"/>
  <c r="Y143"/>
  <c r="BO143"/>
  <c r="AQ143"/>
  <c r="BI143"/>
  <c r="AK143"/>
  <c r="F131" i="58"/>
  <c r="BF147" i="76"/>
  <c r="AH147"/>
  <c r="AZ147"/>
  <c r="AB147"/>
  <c r="AT147"/>
  <c r="V147"/>
  <c r="BL147"/>
  <c r="AN147"/>
  <c r="AU143"/>
  <c r="W143"/>
  <c r="BM143"/>
  <c r="AO143"/>
  <c r="BG143"/>
  <c r="AI143"/>
  <c r="BA143"/>
  <c r="AC143"/>
  <c r="AW144"/>
  <c r="Y144"/>
  <c r="BC144"/>
  <c r="AE144"/>
  <c r="BO144"/>
  <c r="AQ144"/>
  <c r="BI144"/>
  <c r="AK144"/>
  <c r="F69" i="58"/>
  <c r="F84" i="64"/>
  <c r="BM147" i="76"/>
  <c r="AO147"/>
  <c r="BG147"/>
  <c r="AI147"/>
  <c r="BA147"/>
  <c r="AC147"/>
  <c r="AU147"/>
  <c r="W147"/>
  <c r="AT142"/>
  <c r="V142"/>
  <c r="BL142"/>
  <c r="AN142"/>
  <c r="BF142"/>
  <c r="AH142"/>
  <c r="AZ142"/>
  <c r="AB142"/>
  <c r="F70" i="58"/>
  <c r="F85" i="64"/>
  <c r="G85" s="1"/>
  <c r="F35" i="58"/>
  <c r="F50" i="64"/>
  <c r="BC142" i="76"/>
  <c r="AE142"/>
  <c r="AK142"/>
  <c r="AW142"/>
  <c r="Y142"/>
  <c r="BO142"/>
  <c r="AQ142"/>
  <c r="BI142"/>
  <c r="M120"/>
  <c r="M23"/>
  <c r="M27"/>
  <c r="M110"/>
  <c r="M96"/>
  <c r="M75"/>
  <c r="M90"/>
  <c r="F55" i="64"/>
  <c r="G55" s="1"/>
  <c r="M106" i="76"/>
  <c r="M94"/>
  <c r="BD144"/>
  <c r="AF144"/>
  <c r="AX144"/>
  <c r="Z144"/>
  <c r="AR144"/>
  <c r="BP144"/>
  <c r="BJ144"/>
  <c r="AL144"/>
  <c r="F54" i="58"/>
  <c r="F69" i="64"/>
  <c r="G69" s="1"/>
  <c r="BJ141" i="76"/>
  <c r="AL141"/>
  <c r="BP141"/>
  <c r="BD141"/>
  <c r="AF141"/>
  <c r="AX141"/>
  <c r="Z141"/>
  <c r="AR141"/>
  <c r="BG139"/>
  <c r="AI139"/>
  <c r="BA139"/>
  <c r="AC139"/>
  <c r="AU139"/>
  <c r="W139"/>
  <c r="AO139"/>
  <c r="BM139"/>
  <c r="F72" i="58"/>
  <c r="M56" i="76"/>
  <c r="AU142"/>
  <c r="W142"/>
  <c r="BM142"/>
  <c r="AO142"/>
  <c r="BA142"/>
  <c r="BG142"/>
  <c r="AI142"/>
  <c r="AC142"/>
  <c r="F46" i="58"/>
  <c r="F61" i="64"/>
  <c r="G61" s="1"/>
  <c r="AX147" i="76"/>
  <c r="Z147"/>
  <c r="BP147"/>
  <c r="AR147"/>
  <c r="BD147"/>
  <c r="BJ147"/>
  <c r="AL147"/>
  <c r="AF147"/>
  <c r="AV144"/>
  <c r="X144"/>
  <c r="BN144"/>
  <c r="AP144"/>
  <c r="BH144"/>
  <c r="AJ144"/>
  <c r="BB144"/>
  <c r="AD144"/>
  <c r="BJ142"/>
  <c r="AL142"/>
  <c r="BD142"/>
  <c r="AF142"/>
  <c r="Z142"/>
  <c r="AR142"/>
  <c r="AX142"/>
  <c r="BP142"/>
  <c r="AY151"/>
  <c r="AA151"/>
  <c r="BQ151"/>
  <c r="AS151"/>
  <c r="BK151"/>
  <c r="AM151"/>
  <c r="BE151"/>
  <c r="AG151"/>
  <c r="BE144"/>
  <c r="AG144"/>
  <c r="AY144"/>
  <c r="AA144"/>
  <c r="BQ144"/>
  <c r="AS144"/>
  <c r="BK144"/>
  <c r="AM144"/>
  <c r="AV146"/>
  <c r="X146"/>
  <c r="BN146"/>
  <c r="AP146"/>
  <c r="BH146"/>
  <c r="AJ146"/>
  <c r="BB146"/>
  <c r="AD146"/>
  <c r="BD143"/>
  <c r="AF143"/>
  <c r="AX143"/>
  <c r="Z143"/>
  <c r="BJ143"/>
  <c r="BP143"/>
  <c r="AR143"/>
  <c r="AL143"/>
  <c r="AW147"/>
  <c r="Y147"/>
  <c r="BO147"/>
  <c r="AQ147"/>
  <c r="BI147"/>
  <c r="AK147"/>
  <c r="BC147"/>
  <c r="AE147"/>
  <c r="AZ139"/>
  <c r="AB139"/>
  <c r="AT139"/>
  <c r="V139"/>
  <c r="BF139"/>
  <c r="AH139"/>
  <c r="BL139"/>
  <c r="AN139"/>
  <c r="C163"/>
  <c r="M95"/>
  <c r="M71"/>
  <c r="M109"/>
  <c r="M111"/>
  <c r="M101"/>
  <c r="M125"/>
  <c r="M126"/>
  <c r="M69"/>
  <c r="M55"/>
  <c r="M70"/>
  <c r="BI140"/>
  <c r="AK140"/>
  <c r="BO140"/>
  <c r="AQ140"/>
  <c r="BC140"/>
  <c r="AE140"/>
  <c r="AW140"/>
  <c r="Y140"/>
  <c r="BG150"/>
  <c r="AI150"/>
  <c r="BA150"/>
  <c r="AC150"/>
  <c r="AU150"/>
  <c r="W150"/>
  <c r="BM150"/>
  <c r="AO150"/>
  <c r="BQ141"/>
  <c r="AS141"/>
  <c r="BK141"/>
  <c r="AM141"/>
  <c r="BE141"/>
  <c r="AA141"/>
  <c r="AG141"/>
  <c r="AY141"/>
  <c r="BK142"/>
  <c r="AM142"/>
  <c r="BQ142"/>
  <c r="BE142"/>
  <c r="AG142"/>
  <c r="AY142"/>
  <c r="AA142"/>
  <c r="AS142"/>
  <c r="BH140"/>
  <c r="AJ140"/>
  <c r="BB140"/>
  <c r="AD140"/>
  <c r="X140"/>
  <c r="BN140"/>
  <c r="AV140"/>
  <c r="AP140"/>
  <c r="BI152"/>
  <c r="AK152"/>
  <c r="BC152"/>
  <c r="AE152"/>
  <c r="AW152"/>
  <c r="Y152"/>
  <c r="BO152"/>
  <c r="AQ152"/>
  <c r="BH152"/>
  <c r="AJ152"/>
  <c r="BB152"/>
  <c r="AD152"/>
  <c r="AV152"/>
  <c r="X152"/>
  <c r="BN152"/>
  <c r="AP152"/>
  <c r="BA141"/>
  <c r="AC141"/>
  <c r="AU141"/>
  <c r="W141"/>
  <c r="AO141"/>
  <c r="BG141"/>
  <c r="BM141"/>
  <c r="AI141"/>
  <c r="AZ140"/>
  <c r="AB140"/>
  <c r="AT140"/>
  <c r="V140"/>
  <c r="AN140"/>
  <c r="BL140"/>
  <c r="AH140"/>
  <c r="BF140"/>
  <c r="AY139"/>
  <c r="AA139"/>
  <c r="BQ139"/>
  <c r="AS139"/>
  <c r="BK139"/>
  <c r="AM139"/>
  <c r="BE139"/>
  <c r="AG139"/>
  <c r="AV143"/>
  <c r="X143"/>
  <c r="BN143"/>
  <c r="AP143"/>
  <c r="BB143"/>
  <c r="AD143"/>
  <c r="BH143"/>
  <c r="AJ143"/>
  <c r="BG151"/>
  <c r="AI151"/>
  <c r="BA151"/>
  <c r="AC151"/>
  <c r="W151"/>
  <c r="AU151"/>
  <c r="BM151"/>
  <c r="AO151"/>
  <c r="M64"/>
  <c r="M100"/>
  <c r="M85"/>
  <c r="M38"/>
  <c r="M91"/>
  <c r="BK143"/>
  <c r="AM143"/>
  <c r="BE143"/>
  <c r="AG143"/>
  <c r="AY143"/>
  <c r="AA143"/>
  <c r="BQ143"/>
  <c r="AS143"/>
  <c r="BB142"/>
  <c r="AD142"/>
  <c r="AV142"/>
  <c r="X142"/>
  <c r="AP142"/>
  <c r="BN142"/>
  <c r="BH142"/>
  <c r="AJ142"/>
  <c r="F62" i="58"/>
  <c r="F77" i="64"/>
  <c r="G77" s="1"/>
  <c r="AW146" i="76"/>
  <c r="Y146"/>
  <c r="BC146"/>
  <c r="BO146"/>
  <c r="AQ146"/>
  <c r="AE146"/>
  <c r="BI146"/>
  <c r="AK146"/>
  <c r="F130" i="58"/>
  <c r="AZ152" i="76"/>
  <c r="AB152"/>
  <c r="AT152"/>
  <c r="V152"/>
  <c r="BL152"/>
  <c r="AN152"/>
  <c r="BF152"/>
  <c r="AH152"/>
  <c r="C164"/>
  <c r="BL146"/>
  <c r="AN146"/>
  <c r="BF146"/>
  <c r="AH146"/>
  <c r="AZ146"/>
  <c r="AB146"/>
  <c r="AT146"/>
  <c r="V146"/>
  <c r="F76" i="58"/>
  <c r="F91" i="64"/>
  <c r="BM146" i="76"/>
  <c r="AO146"/>
  <c r="BG146"/>
  <c r="AI146"/>
  <c r="W146"/>
  <c r="BA146"/>
  <c r="AC146"/>
  <c r="AU146"/>
  <c r="F135" i="58"/>
  <c r="F150" i="64"/>
  <c r="AP139" i="76"/>
  <c r="BB139"/>
  <c r="AD139"/>
  <c r="BH139"/>
  <c r="AV139"/>
  <c r="X139"/>
  <c r="BN139"/>
  <c r="AJ139"/>
  <c r="F80" i="58"/>
  <c r="F95" i="64"/>
  <c r="G95" s="1"/>
  <c r="F63" i="58"/>
  <c r="F78" i="64"/>
  <c r="BF150" i="76"/>
  <c r="AH150"/>
  <c r="AZ150"/>
  <c r="AB150"/>
  <c r="AT150"/>
  <c r="V150"/>
  <c r="BL150"/>
  <c r="AN150"/>
  <c r="BI141"/>
  <c r="AK141"/>
  <c r="BC141"/>
  <c r="AE141"/>
  <c r="Y141"/>
  <c r="AW141"/>
  <c r="BO141"/>
  <c r="AQ141"/>
  <c r="AZ151"/>
  <c r="AB151"/>
  <c r="AT151"/>
  <c r="V151"/>
  <c r="BL151"/>
  <c r="AN151"/>
  <c r="BF151"/>
  <c r="AH151"/>
  <c r="BE147"/>
  <c r="AG147"/>
  <c r="AY147"/>
  <c r="AA147"/>
  <c r="AS147"/>
  <c r="BQ147"/>
  <c r="BK147"/>
  <c r="AM147"/>
  <c r="BQ140"/>
  <c r="AS140"/>
  <c r="BK140"/>
  <c r="AM140"/>
  <c r="BE140"/>
  <c r="AG140"/>
  <c r="AY140"/>
  <c r="AA140"/>
  <c r="M63"/>
  <c r="M121"/>
  <c r="M76"/>
  <c r="M99"/>
  <c r="F66" i="64"/>
  <c r="F67"/>
  <c r="M81" i="76"/>
  <c r="F59" i="58"/>
  <c r="BA140" i="76"/>
  <c r="AC140"/>
  <c r="AU140"/>
  <c r="W140"/>
  <c r="AI140"/>
  <c r="BM140"/>
  <c r="AO140"/>
  <c r="BG140"/>
  <c r="BP151"/>
  <c r="AR151"/>
  <c r="BJ151"/>
  <c r="AL151"/>
  <c r="BD151"/>
  <c r="AF151"/>
  <c r="AX151"/>
  <c r="Z151"/>
  <c r="AT141"/>
  <c r="V141"/>
  <c r="BL141"/>
  <c r="AN141"/>
  <c r="AZ141"/>
  <c r="BF141"/>
  <c r="AH141"/>
  <c r="AB141"/>
  <c r="F141" i="58"/>
  <c r="F156" i="64"/>
  <c r="F75" i="58"/>
  <c r="F90" i="64"/>
  <c r="BH151" i="76"/>
  <c r="AJ151"/>
  <c r="BB151"/>
  <c r="AD151"/>
  <c r="AV151"/>
  <c r="X151"/>
  <c r="BN151"/>
  <c r="AP151"/>
  <c r="BL143"/>
  <c r="AN143"/>
  <c r="BF143"/>
  <c r="AH143"/>
  <c r="AT143"/>
  <c r="AZ143"/>
  <c r="AB143"/>
  <c r="V143"/>
  <c r="BN150"/>
  <c r="AP150"/>
  <c r="BH150"/>
  <c r="AJ150"/>
  <c r="BB150"/>
  <c r="AD150"/>
  <c r="AV150"/>
  <c r="X150"/>
  <c r="BD146"/>
  <c r="AF146"/>
  <c r="AX146"/>
  <c r="Z146"/>
  <c r="AR146"/>
  <c r="BP146"/>
  <c r="BJ146"/>
  <c r="AL146"/>
  <c r="F140" i="58"/>
  <c r="F155" i="64"/>
  <c r="BL144" i="76"/>
  <c r="AN144"/>
  <c r="BF144"/>
  <c r="AH144"/>
  <c r="AZ144"/>
  <c r="AB144"/>
  <c r="AT144"/>
  <c r="V144"/>
  <c r="F137" i="58"/>
  <c r="F152" i="64"/>
  <c r="BE146" i="76"/>
  <c r="AG146"/>
  <c r="AY146"/>
  <c r="AA146"/>
  <c r="AM146"/>
  <c r="BQ146"/>
  <c r="AS146"/>
  <c r="BK146"/>
  <c r="BO139"/>
  <c r="AQ139"/>
  <c r="BI139"/>
  <c r="AK139"/>
  <c r="BC139"/>
  <c r="AE139"/>
  <c r="Y139"/>
  <c r="AW139"/>
  <c r="F78" i="58"/>
  <c r="F93" i="64"/>
  <c r="G93" s="1"/>
  <c r="S36"/>
  <c r="F37" i="58"/>
  <c r="BM144" i="76"/>
  <c r="AO144"/>
  <c r="BG144"/>
  <c r="AI144"/>
  <c r="AU144"/>
  <c r="W144"/>
  <c r="BA144"/>
  <c r="AC144"/>
  <c r="F64" i="58"/>
  <c r="F136"/>
  <c r="F151" i="64"/>
  <c r="M79" i="76"/>
  <c r="M28"/>
  <c r="M104"/>
  <c r="M105"/>
  <c r="M47"/>
  <c r="M39"/>
  <c r="W37"/>
  <c r="Q92" i="64" l="1"/>
  <c r="T92"/>
  <c r="S92"/>
  <c r="N42" i="52"/>
  <c r="J42"/>
  <c r="R44" i="64"/>
  <c r="Q44"/>
  <c r="R92"/>
  <c r="S44"/>
  <c r="S85"/>
  <c r="Q85"/>
  <c r="T85"/>
  <c r="U85"/>
  <c r="R85"/>
  <c r="T61"/>
  <c r="Q61"/>
  <c r="U61"/>
  <c r="R61"/>
  <c r="S61"/>
  <c r="R77"/>
  <c r="T77"/>
  <c r="U77"/>
  <c r="Q77"/>
  <c r="S77"/>
  <c r="T69"/>
  <c r="U69"/>
  <c r="Q69"/>
  <c r="R69"/>
  <c r="S69"/>
  <c r="S53"/>
  <c r="R53"/>
  <c r="T53"/>
  <c r="Q53"/>
  <c r="U53"/>
  <c r="T93"/>
  <c r="U93"/>
  <c r="Q93"/>
  <c r="R93"/>
  <c r="S93"/>
  <c r="F30" i="52"/>
  <c r="F27"/>
  <c r="F28"/>
  <c r="F29"/>
  <c r="F26"/>
  <c r="AH42"/>
  <c r="AC42"/>
  <c r="X42"/>
  <c r="S42"/>
  <c r="Q22" i="58"/>
  <c r="M6" i="76" s="1"/>
  <c r="N6" s="1"/>
  <c r="N29"/>
  <c r="AZ29" s="1"/>
  <c r="S29"/>
  <c r="AS29" s="1"/>
  <c r="R29"/>
  <c r="BD29" s="1"/>
  <c r="P29"/>
  <c r="AJ29" s="1"/>
  <c r="Q29"/>
  <c r="AW29" s="1"/>
  <c r="O29"/>
  <c r="BA29" s="1"/>
  <c r="AM164"/>
  <c r="BD164"/>
  <c r="AK164"/>
  <c r="BB164"/>
  <c r="AI164"/>
  <c r="BN164"/>
  <c r="AP164"/>
  <c r="X164"/>
  <c r="BE164"/>
  <c r="AL164"/>
  <c r="BC164"/>
  <c r="AJ164"/>
  <c r="BA164"/>
  <c r="AW164"/>
  <c r="BQ164"/>
  <c r="BO164"/>
  <c r="AA164"/>
  <c r="BP164"/>
  <c r="Y164"/>
  <c r="BH164"/>
  <c r="W164"/>
  <c r="AD164"/>
  <c r="AG164"/>
  <c r="AE164"/>
  <c r="AY164"/>
  <c r="AR164"/>
  <c r="AU164"/>
  <c r="Z164"/>
  <c r="AS164"/>
  <c r="AX164"/>
  <c r="AQ164"/>
  <c r="AV164"/>
  <c r="AO164"/>
  <c r="BK164"/>
  <c r="AF164"/>
  <c r="BI164"/>
  <c r="BG164"/>
  <c r="BJ164"/>
  <c r="AC164"/>
  <c r="BM164"/>
  <c r="BE163"/>
  <c r="AL163"/>
  <c r="BC163"/>
  <c r="AJ163"/>
  <c r="BA163"/>
  <c r="Z163"/>
  <c r="AM163"/>
  <c r="BD163"/>
  <c r="AA163"/>
  <c r="BP163"/>
  <c r="Y163"/>
  <c r="BH163"/>
  <c r="W163"/>
  <c r="BM163"/>
  <c r="AI163"/>
  <c r="AS163"/>
  <c r="AX163"/>
  <c r="AQ163"/>
  <c r="AV163"/>
  <c r="AO163"/>
  <c r="AG163"/>
  <c r="BJ163"/>
  <c r="BN163"/>
  <c r="AC163"/>
  <c r="AR163"/>
  <c r="AP163"/>
  <c r="AU163"/>
  <c r="BO163"/>
  <c r="X163"/>
  <c r="BB163"/>
  <c r="BK163"/>
  <c r="AF163"/>
  <c r="BI163"/>
  <c r="AD163"/>
  <c r="BG163"/>
  <c r="AE163"/>
  <c r="AY163"/>
  <c r="AW163"/>
  <c r="BQ163"/>
  <c r="AK163"/>
  <c r="AA162"/>
  <c r="BP162"/>
  <c r="Y162"/>
  <c r="BH162"/>
  <c r="W162"/>
  <c r="BQ162"/>
  <c r="BA162"/>
  <c r="AS162"/>
  <c r="AX162"/>
  <c r="AQ162"/>
  <c r="AV162"/>
  <c r="AO162"/>
  <c r="AU162"/>
  <c r="Z162"/>
  <c r="AM162"/>
  <c r="AJ162"/>
  <c r="BK162"/>
  <c r="AF162"/>
  <c r="BI162"/>
  <c r="AD162"/>
  <c r="BG162"/>
  <c r="AY162"/>
  <c r="AR162"/>
  <c r="AW162"/>
  <c r="BO162"/>
  <c r="BC162"/>
  <c r="AG162"/>
  <c r="BJ162"/>
  <c r="AE162"/>
  <c r="BN162"/>
  <c r="AC162"/>
  <c r="AP162"/>
  <c r="X162"/>
  <c r="BM162"/>
  <c r="BD162"/>
  <c r="AK162"/>
  <c r="BB162"/>
  <c r="AI162"/>
  <c r="BE162"/>
  <c r="AL162"/>
  <c r="O34"/>
  <c r="P34"/>
  <c r="S34"/>
  <c r="R34"/>
  <c r="Q34"/>
  <c r="N34"/>
  <c r="N30"/>
  <c r="O30"/>
  <c r="S30"/>
  <c r="P30"/>
  <c r="R30"/>
  <c r="Q30"/>
  <c r="G78" i="64"/>
  <c r="H78"/>
  <c r="H86"/>
  <c r="G86"/>
  <c r="H54"/>
  <c r="G54"/>
  <c r="BL162" i="76"/>
  <c r="AN162"/>
  <c r="AH162"/>
  <c r="AT162"/>
  <c r="BF162"/>
  <c r="AZ162"/>
  <c r="V162"/>
  <c r="AB162"/>
  <c r="H95" i="64"/>
  <c r="H71"/>
  <c r="H55"/>
  <c r="H77"/>
  <c r="H61"/>
  <c r="H93"/>
  <c r="H69"/>
  <c r="H53"/>
  <c r="H85"/>
  <c r="N32" i="76"/>
  <c r="O32"/>
  <c r="P32"/>
  <c r="R32"/>
  <c r="S32"/>
  <c r="Q32"/>
  <c r="S31"/>
  <c r="Q31"/>
  <c r="R31"/>
  <c r="N31"/>
  <c r="O31"/>
  <c r="P31"/>
  <c r="BP15"/>
  <c r="BJ15"/>
  <c r="AL15"/>
  <c r="AR15"/>
  <c r="BD15"/>
  <c r="AF15"/>
  <c r="AX15"/>
  <c r="Z15"/>
  <c r="V116"/>
  <c r="BL116"/>
  <c r="AZ116"/>
  <c r="AB116"/>
  <c r="AT116"/>
  <c r="AN116"/>
  <c r="BF116"/>
  <c r="AH116"/>
  <c r="K27" i="58"/>
  <c r="Q27" s="1"/>
  <c r="N42" i="64"/>
  <c r="T45" s="1"/>
  <c r="H11" i="76"/>
  <c r="P124"/>
  <c r="AP124" s="1"/>
  <c r="S40"/>
  <c r="AM40" s="1"/>
  <c r="Q15"/>
  <c r="R116"/>
  <c r="O40"/>
  <c r="AI40" s="1"/>
  <c r="Q116"/>
  <c r="P74"/>
  <c r="AD74" s="1"/>
  <c r="Q74"/>
  <c r="AK74" s="1"/>
  <c r="Q84"/>
  <c r="BC84" s="1"/>
  <c r="S84"/>
  <c r="AG84" s="1"/>
  <c r="R124"/>
  <c r="O80"/>
  <c r="AU80" s="1"/>
  <c r="S89"/>
  <c r="BQ89" s="1"/>
  <c r="O116"/>
  <c r="R84"/>
  <c r="BJ84" s="1"/>
  <c r="N40"/>
  <c r="BF40" s="1"/>
  <c r="R40"/>
  <c r="BJ40" s="1"/>
  <c r="P84"/>
  <c r="X84" s="1"/>
  <c r="P15"/>
  <c r="N84"/>
  <c r="AH84" s="1"/>
  <c r="Q40"/>
  <c r="BO40" s="1"/>
  <c r="R59"/>
  <c r="Z59" s="1"/>
  <c r="S116"/>
  <c r="S80"/>
  <c r="AS80" s="1"/>
  <c r="N89"/>
  <c r="AT89" s="1"/>
  <c r="N59"/>
  <c r="V59" s="1"/>
  <c r="O15"/>
  <c r="Q80"/>
  <c r="AQ80" s="1"/>
  <c r="O119"/>
  <c r="W119" s="1"/>
  <c r="R80"/>
  <c r="BJ80" s="1"/>
  <c r="P59"/>
  <c r="X59" s="1"/>
  <c r="S59"/>
  <c r="N15"/>
  <c r="P80"/>
  <c r="AD80" s="1"/>
  <c r="P119"/>
  <c r="AD119" s="1"/>
  <c r="R89"/>
  <c r="BD89" s="1"/>
  <c r="Q59"/>
  <c r="S15"/>
  <c r="N119"/>
  <c r="BF119" s="1"/>
  <c r="Q89"/>
  <c r="AQ89" s="1"/>
  <c r="S119"/>
  <c r="BK119" s="1"/>
  <c r="P89"/>
  <c r="AP89" s="1"/>
  <c r="R119"/>
  <c r="BJ119" s="1"/>
  <c r="O24"/>
  <c r="N24"/>
  <c r="Q24"/>
  <c r="R24"/>
  <c r="S24"/>
  <c r="P24"/>
  <c r="N62"/>
  <c r="V62" s="1"/>
  <c r="O62"/>
  <c r="W62" s="1"/>
  <c r="R62"/>
  <c r="Z62" s="1"/>
  <c r="P62"/>
  <c r="X62" s="1"/>
  <c r="Q62"/>
  <c r="S62"/>
  <c r="O124"/>
  <c r="P116"/>
  <c r="N124"/>
  <c r="O74"/>
  <c r="AO74" s="1"/>
  <c r="N74"/>
  <c r="V74" s="1"/>
  <c r="S124"/>
  <c r="S74"/>
  <c r="AY74" s="1"/>
  <c r="Q124"/>
  <c r="S93"/>
  <c r="R93"/>
  <c r="Z93" s="1"/>
  <c r="P93"/>
  <c r="X93" s="1"/>
  <c r="N93"/>
  <c r="V93" s="1"/>
  <c r="Q93"/>
  <c r="O93"/>
  <c r="W93" s="1"/>
  <c r="S114"/>
  <c r="Q114"/>
  <c r="P114"/>
  <c r="O114"/>
  <c r="N114"/>
  <c r="R114"/>
  <c r="Q19"/>
  <c r="P19"/>
  <c r="X19" s="1"/>
  <c r="O19"/>
  <c r="W19" s="1"/>
  <c r="N19"/>
  <c r="V19" s="1"/>
  <c r="R19"/>
  <c r="Z19" s="1"/>
  <c r="S19"/>
  <c r="Q73"/>
  <c r="O73"/>
  <c r="W73" s="1"/>
  <c r="N73"/>
  <c r="V73" s="1"/>
  <c r="R73"/>
  <c r="Z73" s="1"/>
  <c r="P73"/>
  <c r="X73" s="1"/>
  <c r="S73"/>
  <c r="N54"/>
  <c r="V54" s="1"/>
  <c r="S54"/>
  <c r="Q54"/>
  <c r="O54"/>
  <c r="W54" s="1"/>
  <c r="R54"/>
  <c r="Z54" s="1"/>
  <c r="P54"/>
  <c r="X54" s="1"/>
  <c r="R88"/>
  <c r="Z88" s="1"/>
  <c r="Q88"/>
  <c r="O88"/>
  <c r="W88" s="1"/>
  <c r="P88"/>
  <c r="X88" s="1"/>
  <c r="N88"/>
  <c r="V88" s="1"/>
  <c r="S88"/>
  <c r="Q35"/>
  <c r="P35"/>
  <c r="X35" s="1"/>
  <c r="O35"/>
  <c r="W35" s="1"/>
  <c r="N35"/>
  <c r="V35" s="1"/>
  <c r="S35"/>
  <c r="R35"/>
  <c r="Z35" s="1"/>
  <c r="S22"/>
  <c r="R22"/>
  <c r="Q22"/>
  <c r="O22"/>
  <c r="P22"/>
  <c r="N22"/>
  <c r="P108"/>
  <c r="X108" s="1"/>
  <c r="N108"/>
  <c r="V108" s="1"/>
  <c r="S108"/>
  <c r="Q108"/>
  <c r="O108"/>
  <c r="W108" s="1"/>
  <c r="R108"/>
  <c r="Z108" s="1"/>
  <c r="S43"/>
  <c r="R43"/>
  <c r="Z43" s="1"/>
  <c r="P43"/>
  <c r="X43" s="1"/>
  <c r="Q43"/>
  <c r="O43"/>
  <c r="W43" s="1"/>
  <c r="N43"/>
  <c r="V43" s="1"/>
  <c r="R118"/>
  <c r="Z118" s="1"/>
  <c r="P118"/>
  <c r="X118" s="1"/>
  <c r="O118"/>
  <c r="W118" s="1"/>
  <c r="S118"/>
  <c r="Q118"/>
  <c r="N118"/>
  <c r="V118" s="1"/>
  <c r="Q113"/>
  <c r="O113"/>
  <c r="N113"/>
  <c r="R113"/>
  <c r="S113"/>
  <c r="P113"/>
  <c r="S56"/>
  <c r="R56"/>
  <c r="N56"/>
  <c r="Q56"/>
  <c r="O56"/>
  <c r="P56"/>
  <c r="R52"/>
  <c r="Z52" s="1"/>
  <c r="Q52"/>
  <c r="O52"/>
  <c r="W52" s="1"/>
  <c r="N52"/>
  <c r="V52" s="1"/>
  <c r="P52"/>
  <c r="X52" s="1"/>
  <c r="S52"/>
  <c r="S42"/>
  <c r="R42"/>
  <c r="Z42" s="1"/>
  <c r="Q42"/>
  <c r="O42"/>
  <c r="W42" s="1"/>
  <c r="N42"/>
  <c r="V42" s="1"/>
  <c r="P42"/>
  <c r="X42" s="1"/>
  <c r="R50"/>
  <c r="Z50" s="1"/>
  <c r="Q50"/>
  <c r="P50"/>
  <c r="X50" s="1"/>
  <c r="O50"/>
  <c r="W50" s="1"/>
  <c r="N50"/>
  <c r="V50" s="1"/>
  <c r="S50"/>
  <c r="P46"/>
  <c r="X46" s="1"/>
  <c r="O46"/>
  <c r="W46" s="1"/>
  <c r="N46"/>
  <c r="V46" s="1"/>
  <c r="S46"/>
  <c r="R46"/>
  <c r="Z46" s="1"/>
  <c r="Q46"/>
  <c r="O16"/>
  <c r="N16"/>
  <c r="R16"/>
  <c r="S16"/>
  <c r="P16"/>
  <c r="Q16"/>
  <c r="S123"/>
  <c r="Q123"/>
  <c r="P123"/>
  <c r="N123"/>
  <c r="O123"/>
  <c r="R123"/>
  <c r="S115"/>
  <c r="R115"/>
  <c r="Q115"/>
  <c r="P115"/>
  <c r="O115"/>
  <c r="N115"/>
  <c r="S13"/>
  <c r="R13"/>
  <c r="P13"/>
  <c r="Q13"/>
  <c r="N13"/>
  <c r="O13"/>
  <c r="R20"/>
  <c r="Z20" s="1"/>
  <c r="Q20"/>
  <c r="P20"/>
  <c r="X20" s="1"/>
  <c r="O20"/>
  <c r="W20" s="1"/>
  <c r="S20"/>
  <c r="N20"/>
  <c r="V20" s="1"/>
  <c r="R36"/>
  <c r="Z36" s="1"/>
  <c r="Q36"/>
  <c r="P36"/>
  <c r="X36" s="1"/>
  <c r="O36"/>
  <c r="W36" s="1"/>
  <c r="S36"/>
  <c r="N36"/>
  <c r="V36" s="1"/>
  <c r="S71"/>
  <c r="R71"/>
  <c r="Q71"/>
  <c r="P71"/>
  <c r="N71"/>
  <c r="O71"/>
  <c r="S5"/>
  <c r="R5"/>
  <c r="Z5" s="1"/>
  <c r="Q5"/>
  <c r="O5"/>
  <c r="W5" s="1"/>
  <c r="P5"/>
  <c r="X5" s="1"/>
  <c r="O104"/>
  <c r="S104"/>
  <c r="Q104"/>
  <c r="P104"/>
  <c r="N104"/>
  <c r="R104"/>
  <c r="AI84"/>
  <c r="BG84"/>
  <c r="W84"/>
  <c r="BA84"/>
  <c r="AU84"/>
  <c r="AO84"/>
  <c r="AC84"/>
  <c r="BM84"/>
  <c r="N63"/>
  <c r="S63"/>
  <c r="Q63"/>
  <c r="R63"/>
  <c r="P63"/>
  <c r="O63"/>
  <c r="BI119"/>
  <c r="Y119"/>
  <c r="AE119"/>
  <c r="AQ119"/>
  <c r="AW119"/>
  <c r="BC119"/>
  <c r="AK119"/>
  <c r="S91"/>
  <c r="N91"/>
  <c r="R91"/>
  <c r="O91"/>
  <c r="P91"/>
  <c r="Q91"/>
  <c r="S125"/>
  <c r="R125"/>
  <c r="Q125"/>
  <c r="P125"/>
  <c r="N125"/>
  <c r="O125"/>
  <c r="O90"/>
  <c r="S90"/>
  <c r="Q90"/>
  <c r="R90"/>
  <c r="P90"/>
  <c r="N90"/>
  <c r="S110"/>
  <c r="P110"/>
  <c r="O110"/>
  <c r="R110"/>
  <c r="Q110"/>
  <c r="N110"/>
  <c r="N120"/>
  <c r="P120"/>
  <c r="S120"/>
  <c r="R120"/>
  <c r="Q120"/>
  <c r="O120"/>
  <c r="Q39"/>
  <c r="S39"/>
  <c r="P39"/>
  <c r="O39"/>
  <c r="R39"/>
  <c r="N39"/>
  <c r="O45"/>
  <c r="W45" s="1"/>
  <c r="N45"/>
  <c r="V45" s="1"/>
  <c r="R45"/>
  <c r="Z45" s="1"/>
  <c r="P45"/>
  <c r="X45" s="1"/>
  <c r="S45"/>
  <c r="Q45"/>
  <c r="Q95"/>
  <c r="S95"/>
  <c r="P95"/>
  <c r="R95"/>
  <c r="O95"/>
  <c r="N95"/>
  <c r="S21"/>
  <c r="R21"/>
  <c r="Z21" s="1"/>
  <c r="Q21"/>
  <c r="P21"/>
  <c r="X21" s="1"/>
  <c r="N21"/>
  <c r="V21" s="1"/>
  <c r="O21"/>
  <c r="W21" s="1"/>
  <c r="R99"/>
  <c r="Q99"/>
  <c r="P99"/>
  <c r="N99"/>
  <c r="S99"/>
  <c r="O99"/>
  <c r="N14"/>
  <c r="S14"/>
  <c r="Q14"/>
  <c r="P14"/>
  <c r="R14"/>
  <c r="O14"/>
  <c r="R126"/>
  <c r="O126"/>
  <c r="Q126"/>
  <c r="N126"/>
  <c r="P126"/>
  <c r="S126"/>
  <c r="Q106"/>
  <c r="N106"/>
  <c r="O106"/>
  <c r="S106"/>
  <c r="P106"/>
  <c r="R106"/>
  <c r="P96"/>
  <c r="O96"/>
  <c r="N96"/>
  <c r="R96"/>
  <c r="S96"/>
  <c r="Q96"/>
  <c r="Q105"/>
  <c r="N105"/>
  <c r="S105"/>
  <c r="P105"/>
  <c r="R105"/>
  <c r="O105"/>
  <c r="Q81"/>
  <c r="P81"/>
  <c r="O81"/>
  <c r="N81"/>
  <c r="R81"/>
  <c r="S81"/>
  <c r="R121"/>
  <c r="Q121"/>
  <c r="S121"/>
  <c r="O121"/>
  <c r="N121"/>
  <c r="P121"/>
  <c r="N85"/>
  <c r="S85"/>
  <c r="R85"/>
  <c r="Q85"/>
  <c r="P85"/>
  <c r="O85"/>
  <c r="S70"/>
  <c r="R70"/>
  <c r="Q70"/>
  <c r="P70"/>
  <c r="N70"/>
  <c r="O70"/>
  <c r="Q69"/>
  <c r="P69"/>
  <c r="O69"/>
  <c r="N69"/>
  <c r="S69"/>
  <c r="R69"/>
  <c r="R86"/>
  <c r="Q86"/>
  <c r="P86"/>
  <c r="S86"/>
  <c r="O86"/>
  <c r="N86"/>
  <c r="Q109"/>
  <c r="N109"/>
  <c r="S109"/>
  <c r="R109"/>
  <c r="P109"/>
  <c r="O109"/>
  <c r="O94"/>
  <c r="S94"/>
  <c r="R94"/>
  <c r="Q94"/>
  <c r="N94"/>
  <c r="P94"/>
  <c r="S53"/>
  <c r="R53"/>
  <c r="Z53" s="1"/>
  <c r="P53"/>
  <c r="X53" s="1"/>
  <c r="Q53"/>
  <c r="N53"/>
  <c r="V53" s="1"/>
  <c r="O53"/>
  <c r="W53" s="1"/>
  <c r="S27"/>
  <c r="R27"/>
  <c r="Q27"/>
  <c r="O27"/>
  <c r="P27"/>
  <c r="N27"/>
  <c r="AH164"/>
  <c r="AZ164"/>
  <c r="BL164"/>
  <c r="AT164"/>
  <c r="AB172"/>
  <c r="AN172"/>
  <c r="AT172"/>
  <c r="AB164"/>
  <c r="BF164"/>
  <c r="AZ172"/>
  <c r="AN164"/>
  <c r="BL172"/>
  <c r="BF172"/>
  <c r="AH172"/>
  <c r="V172"/>
  <c r="Q60"/>
  <c r="O60"/>
  <c r="W60" s="1"/>
  <c r="N60"/>
  <c r="V60" s="1"/>
  <c r="R60"/>
  <c r="Z60" s="1"/>
  <c r="S60"/>
  <c r="P60"/>
  <c r="X60" s="1"/>
  <c r="BP74"/>
  <c r="Z74"/>
  <c r="AL74"/>
  <c r="AX74"/>
  <c r="AF74"/>
  <c r="BD74"/>
  <c r="BJ74"/>
  <c r="AR74"/>
  <c r="O100"/>
  <c r="P100"/>
  <c r="Q100"/>
  <c r="S100"/>
  <c r="R100"/>
  <c r="N100"/>
  <c r="O103"/>
  <c r="W103" s="1"/>
  <c r="R103"/>
  <c r="Z103" s="1"/>
  <c r="S103"/>
  <c r="P103"/>
  <c r="X103" s="1"/>
  <c r="Q103"/>
  <c r="N103"/>
  <c r="V103" s="1"/>
  <c r="R64"/>
  <c r="Z64" s="1"/>
  <c r="Q64"/>
  <c r="O64"/>
  <c r="W64" s="1"/>
  <c r="S64"/>
  <c r="P64"/>
  <c r="X64" s="1"/>
  <c r="N64"/>
  <c r="V64" s="1"/>
  <c r="Q28"/>
  <c r="P28"/>
  <c r="N28"/>
  <c r="R28"/>
  <c r="O28"/>
  <c r="BN40"/>
  <c r="BB40"/>
  <c r="AJ40"/>
  <c r="AD40"/>
  <c r="BH40"/>
  <c r="AV40"/>
  <c r="AP40"/>
  <c r="R75"/>
  <c r="Q75"/>
  <c r="P75"/>
  <c r="O75"/>
  <c r="N75"/>
  <c r="S75"/>
  <c r="R23"/>
  <c r="P23"/>
  <c r="O23"/>
  <c r="N23"/>
  <c r="Q23"/>
  <c r="S23"/>
  <c r="R10"/>
  <c r="Z10" s="1"/>
  <c r="Q10"/>
  <c r="P10"/>
  <c r="X10" s="1"/>
  <c r="O10"/>
  <c r="W10" s="1"/>
  <c r="S10"/>
  <c r="N10"/>
  <c r="V10" s="1"/>
  <c r="S12"/>
  <c r="R12"/>
  <c r="Q12"/>
  <c r="O12"/>
  <c r="N12"/>
  <c r="P12"/>
  <c r="N26"/>
  <c r="V26" s="1"/>
  <c r="S26"/>
  <c r="Q26"/>
  <c r="R26"/>
  <c r="Z26" s="1"/>
  <c r="O26"/>
  <c r="W26" s="1"/>
  <c r="P26"/>
  <c r="X26" s="1"/>
  <c r="W89"/>
  <c r="AU89"/>
  <c r="BG89"/>
  <c r="BA89"/>
  <c r="AI89"/>
  <c r="AC89"/>
  <c r="AO89"/>
  <c r="BM89"/>
  <c r="R78"/>
  <c r="Z78" s="1"/>
  <c r="P78"/>
  <c r="X78" s="1"/>
  <c r="O78"/>
  <c r="W78" s="1"/>
  <c r="S78"/>
  <c r="Q78"/>
  <c r="N78"/>
  <c r="V78" s="1"/>
  <c r="S83"/>
  <c r="Q83"/>
  <c r="P83"/>
  <c r="X83" s="1"/>
  <c r="N83"/>
  <c r="V83" s="1"/>
  <c r="R83"/>
  <c r="Z83" s="1"/>
  <c r="O83"/>
  <c r="W83" s="1"/>
  <c r="O47"/>
  <c r="Q47"/>
  <c r="R47"/>
  <c r="P47"/>
  <c r="S47"/>
  <c r="N47"/>
  <c r="O58"/>
  <c r="W58" s="1"/>
  <c r="R58"/>
  <c r="Z58" s="1"/>
  <c r="S58"/>
  <c r="P58"/>
  <c r="X58" s="1"/>
  <c r="Q58"/>
  <c r="N58"/>
  <c r="V58" s="1"/>
  <c r="Q48"/>
  <c r="P48"/>
  <c r="X48" s="1"/>
  <c r="O48"/>
  <c r="W48" s="1"/>
  <c r="N48"/>
  <c r="V48" s="1"/>
  <c r="R48"/>
  <c r="Z48" s="1"/>
  <c r="S48"/>
  <c r="R61"/>
  <c r="Z61" s="1"/>
  <c r="P61"/>
  <c r="X61" s="1"/>
  <c r="O61"/>
  <c r="W61" s="1"/>
  <c r="S61"/>
  <c r="Q61"/>
  <c r="N61"/>
  <c r="V61" s="1"/>
  <c r="AZ80"/>
  <c r="BL80"/>
  <c r="AH80"/>
  <c r="AB80"/>
  <c r="V80"/>
  <c r="AT80"/>
  <c r="AN80"/>
  <c r="BF80"/>
  <c r="N98"/>
  <c r="V98" s="1"/>
  <c r="S98"/>
  <c r="Q98"/>
  <c r="O98"/>
  <c r="W98" s="1"/>
  <c r="R98"/>
  <c r="Z98" s="1"/>
  <c r="P98"/>
  <c r="X98" s="1"/>
  <c r="R111"/>
  <c r="Q111"/>
  <c r="P111"/>
  <c r="N111"/>
  <c r="O111"/>
  <c r="S111"/>
  <c r="BL163"/>
  <c r="AT163"/>
  <c r="AB171"/>
  <c r="AB163"/>
  <c r="AN171"/>
  <c r="AZ163"/>
  <c r="AT171"/>
  <c r="AZ171"/>
  <c r="BL171"/>
  <c r="AH171"/>
  <c r="V171"/>
  <c r="BF163"/>
  <c r="AH163"/>
  <c r="AN163"/>
  <c r="BF171"/>
  <c r="P68"/>
  <c r="X68" s="1"/>
  <c r="N68"/>
  <c r="S68"/>
  <c r="Q68"/>
  <c r="R68"/>
  <c r="Z68" s="1"/>
  <c r="O68"/>
  <c r="W68" s="1"/>
  <c r="S79"/>
  <c r="Q79"/>
  <c r="P79"/>
  <c r="R79"/>
  <c r="N79"/>
  <c r="O79"/>
  <c r="N44"/>
  <c r="V44" s="1"/>
  <c r="S44"/>
  <c r="Q44"/>
  <c r="O44"/>
  <c r="W44" s="1"/>
  <c r="R44"/>
  <c r="Z44" s="1"/>
  <c r="P44"/>
  <c r="X44" s="1"/>
  <c r="R36" i="64"/>
  <c r="P76" i="76"/>
  <c r="O76"/>
  <c r="N76"/>
  <c r="S76"/>
  <c r="Q76"/>
  <c r="R76"/>
  <c r="R38"/>
  <c r="P38"/>
  <c r="Q38"/>
  <c r="N38"/>
  <c r="O38"/>
  <c r="S38"/>
  <c r="N55"/>
  <c r="R55"/>
  <c r="S55"/>
  <c r="Q55"/>
  <c r="P55"/>
  <c r="O55"/>
  <c r="O101"/>
  <c r="R101"/>
  <c r="S101"/>
  <c r="N101"/>
  <c r="Q101"/>
  <c r="P101"/>
  <c r="P18"/>
  <c r="X18" s="1"/>
  <c r="O18"/>
  <c r="W18" s="1"/>
  <c r="N18"/>
  <c r="V18" s="1"/>
  <c r="S18"/>
  <c r="R18"/>
  <c r="Z18" s="1"/>
  <c r="Q18"/>
  <c r="S51"/>
  <c r="R51"/>
  <c r="Z51" s="1"/>
  <c r="Q51"/>
  <c r="P51"/>
  <c r="X51" s="1"/>
  <c r="N51"/>
  <c r="V51" s="1"/>
  <c r="O51"/>
  <c r="W51" s="1"/>
  <c r="X37"/>
  <c r="O104" i="59"/>
  <c r="M107"/>
  <c r="K103"/>
  <c r="M94"/>
  <c r="Q91"/>
  <c r="G109"/>
  <c r="G108"/>
  <c r="M98"/>
  <c r="M108"/>
  <c r="G103"/>
  <c r="I102"/>
  <c r="M105"/>
  <c r="Q108"/>
  <c r="Q103"/>
  <c r="G97"/>
  <c r="M97"/>
  <c r="I93"/>
  <c r="K107"/>
  <c r="G94"/>
  <c r="Q93"/>
  <c r="I108"/>
  <c r="Q98"/>
  <c r="M106"/>
  <c r="G95"/>
  <c r="I107"/>
  <c r="O108"/>
  <c r="Q105"/>
  <c r="K106"/>
  <c r="M91"/>
  <c r="O107"/>
  <c r="I92"/>
  <c r="I103"/>
  <c r="Q104"/>
  <c r="I106"/>
  <c r="K95"/>
  <c r="K104"/>
  <c r="M104"/>
  <c r="K108"/>
  <c r="Q96"/>
  <c r="O106"/>
  <c r="Q102"/>
  <c r="Q106"/>
  <c r="O97"/>
  <c r="K97"/>
  <c r="I97"/>
  <c r="G98"/>
  <c r="Q94"/>
  <c r="O98"/>
  <c r="G93"/>
  <c r="M103"/>
  <c r="Q95"/>
  <c r="K94"/>
  <c r="Q109"/>
  <c r="G105"/>
  <c r="I98"/>
  <c r="G106"/>
  <c r="O105"/>
  <c r="M95"/>
  <c r="I94"/>
  <c r="K105"/>
  <c r="O92"/>
  <c r="K109"/>
  <c r="I105"/>
  <c r="O102"/>
  <c r="Q97"/>
  <c r="K102"/>
  <c r="I104"/>
  <c r="M92"/>
  <c r="G92"/>
  <c r="O95"/>
  <c r="O103"/>
  <c r="G104"/>
  <c r="O109"/>
  <c r="M96"/>
  <c r="G96"/>
  <c r="G107"/>
  <c r="M109"/>
  <c r="O91"/>
  <c r="I95"/>
  <c r="K91"/>
  <c r="O94"/>
  <c r="I109"/>
  <c r="I91"/>
  <c r="I96"/>
  <c r="M93"/>
  <c r="K92"/>
  <c r="K93"/>
  <c r="K98"/>
  <c r="O93"/>
  <c r="M102"/>
  <c r="Q107"/>
  <c r="O96"/>
  <c r="Q92"/>
  <c r="K96"/>
  <c r="T44" i="64" l="1"/>
  <c r="F25" s="1"/>
  <c r="V6" i="76"/>
  <c r="F22" i="64"/>
  <c r="F23"/>
  <c r="G24"/>
  <c r="F24"/>
  <c r="G23"/>
  <c r="G22"/>
  <c r="BM29" i="76"/>
  <c r="AO29"/>
  <c r="BG29"/>
  <c r="AI29"/>
  <c r="AC29"/>
  <c r="O6"/>
  <c r="W6" s="1"/>
  <c r="S6"/>
  <c r="Q6"/>
  <c r="Y6" s="1"/>
  <c r="R6"/>
  <c r="Z6" s="1"/>
  <c r="P6"/>
  <c r="X6" s="1"/>
  <c r="AD29"/>
  <c r="BI29"/>
  <c r="BC29"/>
  <c r="BB29"/>
  <c r="BH29"/>
  <c r="AK29"/>
  <c r="AP29"/>
  <c r="AL29"/>
  <c r="AR29"/>
  <c r="X29"/>
  <c r="AV29"/>
  <c r="BN29"/>
  <c r="AU29"/>
  <c r="Z29"/>
  <c r="BO29"/>
  <c r="BP29"/>
  <c r="Y29"/>
  <c r="AB29"/>
  <c r="BQ29"/>
  <c r="W29"/>
  <c r="V29"/>
  <c r="AY29"/>
  <c r="BK29"/>
  <c r="AF29"/>
  <c r="AH29"/>
  <c r="BL29"/>
  <c r="AG29"/>
  <c r="AT29"/>
  <c r="AX29"/>
  <c r="AM29"/>
  <c r="AQ29"/>
  <c r="AN29"/>
  <c r="AA29"/>
  <c r="BF29"/>
  <c r="BJ29"/>
  <c r="BE29"/>
  <c r="AE29"/>
  <c r="R108" i="59"/>
  <c r="R106"/>
  <c r="R107"/>
  <c r="R103"/>
  <c r="R109"/>
  <c r="R105"/>
  <c r="R104"/>
  <c r="P108"/>
  <c r="P106"/>
  <c r="P104"/>
  <c r="P105"/>
  <c r="P103"/>
  <c r="P107"/>
  <c r="P109"/>
  <c r="N103"/>
  <c r="N109"/>
  <c r="N108"/>
  <c r="N104"/>
  <c r="N107"/>
  <c r="N105"/>
  <c r="N106"/>
  <c r="L108"/>
  <c r="L105"/>
  <c r="L103"/>
  <c r="L107"/>
  <c r="L109"/>
  <c r="L106"/>
  <c r="L104"/>
  <c r="J109"/>
  <c r="J103"/>
  <c r="J105"/>
  <c r="J104"/>
  <c r="J108"/>
  <c r="J107"/>
  <c r="J106"/>
  <c r="H103"/>
  <c r="H104"/>
  <c r="H107"/>
  <c r="H108"/>
  <c r="H105"/>
  <c r="H106"/>
  <c r="H109"/>
  <c r="R96"/>
  <c r="R98"/>
  <c r="R92"/>
  <c r="R97"/>
  <c r="R93"/>
  <c r="R94"/>
  <c r="R95"/>
  <c r="P94"/>
  <c r="P96"/>
  <c r="P92"/>
  <c r="P95"/>
  <c r="P97"/>
  <c r="P98"/>
  <c r="P93"/>
  <c r="N92"/>
  <c r="N93"/>
  <c r="N96"/>
  <c r="N94"/>
  <c r="N98"/>
  <c r="N97"/>
  <c r="N95"/>
  <c r="L98"/>
  <c r="L92"/>
  <c r="L96"/>
  <c r="L94"/>
  <c r="L97"/>
  <c r="L95"/>
  <c r="L93"/>
  <c r="J92"/>
  <c r="J96"/>
  <c r="J93"/>
  <c r="J95"/>
  <c r="J97"/>
  <c r="J94"/>
  <c r="J98"/>
  <c r="H92"/>
  <c r="H93"/>
  <c r="H96"/>
  <c r="H98"/>
  <c r="H95"/>
  <c r="H97"/>
  <c r="H94"/>
  <c r="BH124" i="76"/>
  <c r="BM30"/>
  <c r="BG30"/>
  <c r="AC30"/>
  <c r="AI30"/>
  <c r="BA30"/>
  <c r="W30"/>
  <c r="AU30"/>
  <c r="AO30"/>
  <c r="AI34"/>
  <c r="AO34"/>
  <c r="BM34"/>
  <c r="AU34"/>
  <c r="BA34"/>
  <c r="W34"/>
  <c r="AC34"/>
  <c r="BG34"/>
  <c r="AP30"/>
  <c r="AD30"/>
  <c r="BH30"/>
  <c r="AJ30"/>
  <c r="X30"/>
  <c r="BB30"/>
  <c r="BN30"/>
  <c r="AV30"/>
  <c r="AS34"/>
  <c r="AM34"/>
  <c r="AG34"/>
  <c r="BE34"/>
  <c r="AY34"/>
  <c r="BQ34"/>
  <c r="BK34"/>
  <c r="AA34"/>
  <c r="X34"/>
  <c r="AD34"/>
  <c r="BB34"/>
  <c r="AP34"/>
  <c r="AV34"/>
  <c r="AJ34"/>
  <c r="BN34"/>
  <c r="BH34"/>
  <c r="BD30"/>
  <c r="BP30"/>
  <c r="AR30"/>
  <c r="Z30"/>
  <c r="AL30"/>
  <c r="AF30"/>
  <c r="BJ30"/>
  <c r="AX30"/>
  <c r="AF34"/>
  <c r="AX34"/>
  <c r="AR34"/>
  <c r="AL34"/>
  <c r="BP34"/>
  <c r="BD34"/>
  <c r="BJ34"/>
  <c r="Z34"/>
  <c r="AY30"/>
  <c r="BK30"/>
  <c r="BQ30"/>
  <c r="AS30"/>
  <c r="AA30"/>
  <c r="BE30"/>
  <c r="AM30"/>
  <c r="AG30"/>
  <c r="BC30"/>
  <c r="AK30"/>
  <c r="BI30"/>
  <c r="BO30"/>
  <c r="AQ30"/>
  <c r="Y30"/>
  <c r="AE30"/>
  <c r="AW30"/>
  <c r="AQ34"/>
  <c r="AK34"/>
  <c r="AW34"/>
  <c r="BI34"/>
  <c r="BO34"/>
  <c r="Y34"/>
  <c r="AE34"/>
  <c r="BC34"/>
  <c r="AN34"/>
  <c r="BF34"/>
  <c r="AZ34"/>
  <c r="BL34"/>
  <c r="AH34"/>
  <c r="AB34"/>
  <c r="AT34"/>
  <c r="V34"/>
  <c r="AN30"/>
  <c r="V30"/>
  <c r="AZ30"/>
  <c r="AT30"/>
  <c r="BF30"/>
  <c r="AH30"/>
  <c r="BL30"/>
  <c r="AB30"/>
  <c r="BO12"/>
  <c r="AQ12"/>
  <c r="BI12"/>
  <c r="AK12"/>
  <c r="BC12"/>
  <c r="AE12"/>
  <c r="AW12"/>
  <c r="Y12"/>
  <c r="M11"/>
  <c r="P11" s="1"/>
  <c r="X11" s="1"/>
  <c r="BG12"/>
  <c r="AI12"/>
  <c r="BA12"/>
  <c r="AC12"/>
  <c r="AU12"/>
  <c r="W12"/>
  <c r="BM12"/>
  <c r="AO12"/>
  <c r="AZ12"/>
  <c r="AB12"/>
  <c r="AH12"/>
  <c r="AT12"/>
  <c r="V12"/>
  <c r="BF12"/>
  <c r="BL12"/>
  <c r="AN12"/>
  <c r="BH12"/>
  <c r="AJ12"/>
  <c r="BN12"/>
  <c r="AP12"/>
  <c r="BB12"/>
  <c r="AD12"/>
  <c r="AV12"/>
  <c r="X12"/>
  <c r="AY12"/>
  <c r="AA12"/>
  <c r="BQ12"/>
  <c r="AS12"/>
  <c r="BK12"/>
  <c r="AM12"/>
  <c r="BE12"/>
  <c r="AG12"/>
  <c r="AX12"/>
  <c r="BP12"/>
  <c r="AR12"/>
  <c r="BJ12"/>
  <c r="AL12"/>
  <c r="Z12"/>
  <c r="BD12"/>
  <c r="AF12"/>
  <c r="BN13"/>
  <c r="AV13"/>
  <c r="X13"/>
  <c r="BB13"/>
  <c r="AD13"/>
  <c r="AP13"/>
  <c r="BH13"/>
  <c r="AJ13"/>
  <c r="AX13"/>
  <c r="Z13"/>
  <c r="BD13"/>
  <c r="AF13"/>
  <c r="BJ13"/>
  <c r="AL13"/>
  <c r="BP13"/>
  <c r="AR13"/>
  <c r="BC113"/>
  <c r="AW113"/>
  <c r="Y113"/>
  <c r="BI113"/>
  <c r="AK113"/>
  <c r="AE113"/>
  <c r="BO113"/>
  <c r="AQ113"/>
  <c r="W113"/>
  <c r="BM113"/>
  <c r="AO113"/>
  <c r="BA113"/>
  <c r="AC113"/>
  <c r="AU113"/>
  <c r="BG113"/>
  <c r="AI113"/>
  <c r="AH13"/>
  <c r="AB13"/>
  <c r="BL13"/>
  <c r="AN13"/>
  <c r="AT13"/>
  <c r="V13"/>
  <c r="BF13"/>
  <c r="AZ13"/>
  <c r="AZ113"/>
  <c r="AB113"/>
  <c r="BL113"/>
  <c r="AN113"/>
  <c r="V113"/>
  <c r="AT113"/>
  <c r="BF113"/>
  <c r="AH113"/>
  <c r="AU13"/>
  <c r="W13"/>
  <c r="BM13"/>
  <c r="BA13"/>
  <c r="AO13"/>
  <c r="AI13"/>
  <c r="AC13"/>
  <c r="BG13"/>
  <c r="BP113"/>
  <c r="AR113"/>
  <c r="AL113"/>
  <c r="BJ113"/>
  <c r="BD113"/>
  <c r="AF113"/>
  <c r="AX113"/>
  <c r="Z113"/>
  <c r="BC13"/>
  <c r="AE13"/>
  <c r="BI13"/>
  <c r="AK13"/>
  <c r="AW13"/>
  <c r="Y13"/>
  <c r="BO13"/>
  <c r="AQ13"/>
  <c r="BK113"/>
  <c r="AM113"/>
  <c r="BE113"/>
  <c r="BQ113"/>
  <c r="AS113"/>
  <c r="AY113"/>
  <c r="AA113"/>
  <c r="AG113"/>
  <c r="BH113"/>
  <c r="AJ113"/>
  <c r="AV113"/>
  <c r="X113"/>
  <c r="BB113"/>
  <c r="AP113"/>
  <c r="AD113"/>
  <c r="BN113"/>
  <c r="BK13"/>
  <c r="AM13"/>
  <c r="AG13"/>
  <c r="BQ13"/>
  <c r="BE13"/>
  <c r="AY13"/>
  <c r="AA13"/>
  <c r="AS13"/>
  <c r="AT31"/>
  <c r="V31"/>
  <c r="AZ31"/>
  <c r="AB31"/>
  <c r="BL31"/>
  <c r="AN31"/>
  <c r="BF31"/>
  <c r="AH31"/>
  <c r="BA31"/>
  <c r="AC31"/>
  <c r="BG31"/>
  <c r="AI31"/>
  <c r="AU31"/>
  <c r="W31"/>
  <c r="BM31"/>
  <c r="AO31"/>
  <c r="BH14"/>
  <c r="AJ14"/>
  <c r="BB14"/>
  <c r="AD14"/>
  <c r="AP14"/>
  <c r="BN14"/>
  <c r="AV14"/>
  <c r="X14"/>
  <c r="BH114"/>
  <c r="AJ114"/>
  <c r="BN114"/>
  <c r="BB114"/>
  <c r="AD114"/>
  <c r="AV114"/>
  <c r="X114"/>
  <c r="AP114"/>
  <c r="BP14"/>
  <c r="AR14"/>
  <c r="BJ14"/>
  <c r="AL14"/>
  <c r="Z14"/>
  <c r="AX14"/>
  <c r="BD14"/>
  <c r="AF14"/>
  <c r="BG114"/>
  <c r="AI114"/>
  <c r="BA114"/>
  <c r="AC114"/>
  <c r="AO114"/>
  <c r="AU114"/>
  <c r="W114"/>
  <c r="BM114"/>
  <c r="BK32"/>
  <c r="AG32"/>
  <c r="BQ32"/>
  <c r="AM32"/>
  <c r="AY32"/>
  <c r="AA32"/>
  <c r="AS32"/>
  <c r="BE32"/>
  <c r="BI14"/>
  <c r="AK14"/>
  <c r="BO14"/>
  <c r="AQ14"/>
  <c r="BC14"/>
  <c r="AE14"/>
  <c r="AW14"/>
  <c r="Y14"/>
  <c r="BH31"/>
  <c r="BB31"/>
  <c r="AD31"/>
  <c r="AV31"/>
  <c r="X31"/>
  <c r="BN31"/>
  <c r="AP31"/>
  <c r="AJ31"/>
  <c r="BA14"/>
  <c r="AC14"/>
  <c r="AU14"/>
  <c r="W14"/>
  <c r="BM14"/>
  <c r="AO14"/>
  <c r="BG14"/>
  <c r="AI14"/>
  <c r="AZ114"/>
  <c r="AB114"/>
  <c r="BL114"/>
  <c r="AH114"/>
  <c r="AT114"/>
  <c r="V114"/>
  <c r="AN114"/>
  <c r="BF114"/>
  <c r="AW32"/>
  <c r="BC32"/>
  <c r="BI32"/>
  <c r="AE32"/>
  <c r="AQ32"/>
  <c r="BO32"/>
  <c r="AK32"/>
  <c r="Y32"/>
  <c r="AZ14"/>
  <c r="AB14"/>
  <c r="AT14"/>
  <c r="V14"/>
  <c r="BF14"/>
  <c r="AH14"/>
  <c r="BL14"/>
  <c r="AN14"/>
  <c r="BJ31"/>
  <c r="AL31"/>
  <c r="BP31"/>
  <c r="AR31"/>
  <c r="BD31"/>
  <c r="AF31"/>
  <c r="AX31"/>
  <c r="Z31"/>
  <c r="AY114"/>
  <c r="AA114"/>
  <c r="BQ114"/>
  <c r="BE114"/>
  <c r="AG114"/>
  <c r="AS114"/>
  <c r="BK114"/>
  <c r="AM114"/>
  <c r="AU32"/>
  <c r="AC32"/>
  <c r="BA32"/>
  <c r="AI32"/>
  <c r="AO32"/>
  <c r="BM32"/>
  <c r="W32"/>
  <c r="BG32"/>
  <c r="BO114"/>
  <c r="AQ114"/>
  <c r="BI114"/>
  <c r="AK114"/>
  <c r="AW114"/>
  <c r="Y114"/>
  <c r="BC114"/>
  <c r="AE114"/>
  <c r="BB32"/>
  <c r="BN32"/>
  <c r="AJ32"/>
  <c r="AP32"/>
  <c r="BH32"/>
  <c r="X32"/>
  <c r="AV32"/>
  <c r="AD32"/>
  <c r="BJ32"/>
  <c r="AX32"/>
  <c r="Z32"/>
  <c r="BP32"/>
  <c r="AF32"/>
  <c r="AR32"/>
  <c r="AL32"/>
  <c r="BD32"/>
  <c r="BD114"/>
  <c r="BP114"/>
  <c r="AR114"/>
  <c r="AX114"/>
  <c r="Z114"/>
  <c r="BJ114"/>
  <c r="AL114"/>
  <c r="AF114"/>
  <c r="BQ31"/>
  <c r="AS31"/>
  <c r="AY31"/>
  <c r="BK31"/>
  <c r="AM31"/>
  <c r="AA31"/>
  <c r="BE31"/>
  <c r="AG31"/>
  <c r="AN32"/>
  <c r="BF32"/>
  <c r="V32"/>
  <c r="BL32"/>
  <c r="AH32"/>
  <c r="AZ32"/>
  <c r="AT32"/>
  <c r="AB32"/>
  <c r="AY14"/>
  <c r="BQ14"/>
  <c r="AS14"/>
  <c r="AA14"/>
  <c r="BK14"/>
  <c r="AM14"/>
  <c r="BE14"/>
  <c r="AG14"/>
  <c r="BI31"/>
  <c r="AK31"/>
  <c r="BC31"/>
  <c r="AE31"/>
  <c r="BO31"/>
  <c r="AQ31"/>
  <c r="AW31"/>
  <c r="Y31"/>
  <c r="BI15"/>
  <c r="AK15"/>
  <c r="Y15"/>
  <c r="AW15"/>
  <c r="BC15"/>
  <c r="AE15"/>
  <c r="BO15"/>
  <c r="AQ15"/>
  <c r="BH115"/>
  <c r="AJ115"/>
  <c r="AV115"/>
  <c r="X115"/>
  <c r="BB115"/>
  <c r="AD115"/>
  <c r="BN115"/>
  <c r="AP115"/>
  <c r="BA115"/>
  <c r="AC115"/>
  <c r="AU115"/>
  <c r="W115"/>
  <c r="BG115"/>
  <c r="AI115"/>
  <c r="BM115"/>
  <c r="AO115"/>
  <c r="BQ15"/>
  <c r="AS15"/>
  <c r="BE15"/>
  <c r="AG15"/>
  <c r="BK15"/>
  <c r="AM15"/>
  <c r="AY15"/>
  <c r="AA15"/>
  <c r="AZ115"/>
  <c r="AB115"/>
  <c r="BL115"/>
  <c r="AN115"/>
  <c r="AT115"/>
  <c r="V115"/>
  <c r="BF115"/>
  <c r="AH115"/>
  <c r="BL15"/>
  <c r="AZ15"/>
  <c r="AT15"/>
  <c r="V15"/>
  <c r="AB15"/>
  <c r="AN15"/>
  <c r="BF15"/>
  <c r="AH15"/>
  <c r="BP115"/>
  <c r="AR115"/>
  <c r="BD115"/>
  <c r="AF115"/>
  <c r="BJ115"/>
  <c r="AL115"/>
  <c r="AX115"/>
  <c r="Z115"/>
  <c r="BA15"/>
  <c r="AC15"/>
  <c r="BM15"/>
  <c r="AO15"/>
  <c r="AU15"/>
  <c r="W15"/>
  <c r="BG15"/>
  <c r="AI15"/>
  <c r="AJ15"/>
  <c r="BB15"/>
  <c r="AD15"/>
  <c r="AV15"/>
  <c r="X15"/>
  <c r="BN15"/>
  <c r="AP15"/>
  <c r="BH15"/>
  <c r="AA115"/>
  <c r="BQ115"/>
  <c r="AS115"/>
  <c r="AY115"/>
  <c r="BK115"/>
  <c r="AM115"/>
  <c r="BE115"/>
  <c r="AG115"/>
  <c r="BI115"/>
  <c r="AK115"/>
  <c r="BC115"/>
  <c r="AE115"/>
  <c r="AW115"/>
  <c r="Y115"/>
  <c r="BO115"/>
  <c r="AQ115"/>
  <c r="AV16"/>
  <c r="X16"/>
  <c r="AP16"/>
  <c r="BB16"/>
  <c r="AD16"/>
  <c r="BH16"/>
  <c r="AJ16"/>
  <c r="BN16"/>
  <c r="BA16"/>
  <c r="AC16"/>
  <c r="BG16"/>
  <c r="AI16"/>
  <c r="AU16"/>
  <c r="W16"/>
  <c r="BM16"/>
  <c r="AO16"/>
  <c r="BI16"/>
  <c r="AK16"/>
  <c r="BO16"/>
  <c r="AQ16"/>
  <c r="BC16"/>
  <c r="AE16"/>
  <c r="AW16"/>
  <c r="Y16"/>
  <c r="AF116"/>
  <c r="BP116"/>
  <c r="AR116"/>
  <c r="AL116"/>
  <c r="BD116"/>
  <c r="BJ116"/>
  <c r="AX116"/>
  <c r="Z116"/>
  <c r="BG116"/>
  <c r="AI116"/>
  <c r="BA116"/>
  <c r="AC116"/>
  <c r="BM116"/>
  <c r="AU116"/>
  <c r="W116"/>
  <c r="AO116"/>
  <c r="BD16"/>
  <c r="BJ16"/>
  <c r="AL16"/>
  <c r="Z16"/>
  <c r="BP16"/>
  <c r="AR16"/>
  <c r="AF16"/>
  <c r="AX16"/>
  <c r="BQ16"/>
  <c r="AS16"/>
  <c r="AY16"/>
  <c r="AG16"/>
  <c r="AA16"/>
  <c r="BK16"/>
  <c r="AM16"/>
  <c r="BE16"/>
  <c r="BB116"/>
  <c r="AV116"/>
  <c r="BH116"/>
  <c r="AJ116"/>
  <c r="AD116"/>
  <c r="BN116"/>
  <c r="AP116"/>
  <c r="X116"/>
  <c r="BL16"/>
  <c r="AT16"/>
  <c r="V16"/>
  <c r="AN16"/>
  <c r="AZ16"/>
  <c r="AB16"/>
  <c r="BF16"/>
  <c r="AH16"/>
  <c r="AY116"/>
  <c r="AA116"/>
  <c r="BQ116"/>
  <c r="AS116"/>
  <c r="AG116"/>
  <c r="BK116"/>
  <c r="AM116"/>
  <c r="BE116"/>
  <c r="BO116"/>
  <c r="AQ116"/>
  <c r="Y116"/>
  <c r="BI116"/>
  <c r="AK116"/>
  <c r="BC116"/>
  <c r="AE116"/>
  <c r="AW116"/>
  <c r="W124"/>
  <c r="BB124"/>
  <c r="Z123"/>
  <c r="V24"/>
  <c r="Z24"/>
  <c r="X123"/>
  <c r="X24"/>
  <c r="W24"/>
  <c r="Z124"/>
  <c r="BQ124"/>
  <c r="V123"/>
  <c r="AK124"/>
  <c r="W123"/>
  <c r="AH124"/>
  <c r="X124"/>
  <c r="AJ124"/>
  <c r="BN124"/>
  <c r="AD124"/>
  <c r="Z22"/>
  <c r="V22"/>
  <c r="W22"/>
  <c r="X22"/>
  <c r="BI84"/>
  <c r="AW74"/>
  <c r="BC74"/>
  <c r="AJ74"/>
  <c r="BH74"/>
  <c r="AY89"/>
  <c r="BO84"/>
  <c r="AK80"/>
  <c r="AW84"/>
  <c r="BN119"/>
  <c r="AA40"/>
  <c r="AS40"/>
  <c r="BQ84"/>
  <c r="AY40"/>
  <c r="AA84"/>
  <c r="BB89"/>
  <c r="AL89"/>
  <c r="AO119"/>
  <c r="AY84"/>
  <c r="BK40"/>
  <c r="AR89"/>
  <c r="AS84"/>
  <c r="AG40"/>
  <c r="AI119"/>
  <c r="BQ40"/>
  <c r="BE40"/>
  <c r="AC119"/>
  <c r="AC40"/>
  <c r="AO40"/>
  <c r="BM40"/>
  <c r="BA40"/>
  <c r="AU40"/>
  <c r="W40"/>
  <c r="BG40"/>
  <c r="AR40"/>
  <c r="BP80"/>
  <c r="AS89"/>
  <c r="BD84"/>
  <c r="Y74"/>
  <c r="AF124"/>
  <c r="AE74"/>
  <c r="AX124"/>
  <c r="BP84"/>
  <c r="AF80"/>
  <c r="BP124"/>
  <c r="AF84"/>
  <c r="Z80"/>
  <c r="AL124"/>
  <c r="AX80"/>
  <c r="AR124"/>
  <c r="AX84"/>
  <c r="AR80"/>
  <c r="AR84"/>
  <c r="BD80"/>
  <c r="BD124"/>
  <c r="AL84"/>
  <c r="AL80"/>
  <c r="Z84"/>
  <c r="AV74"/>
  <c r="BI74"/>
  <c r="BO74"/>
  <c r="AB84"/>
  <c r="AK89"/>
  <c r="V84"/>
  <c r="AP74"/>
  <c r="AQ74"/>
  <c r="AJ80"/>
  <c r="V89"/>
  <c r="AP84"/>
  <c r="AD84"/>
  <c r="AB89"/>
  <c r="Y89"/>
  <c r="BG119"/>
  <c r="BE84"/>
  <c r="X74"/>
  <c r="BB84"/>
  <c r="AQ84"/>
  <c r="BF89"/>
  <c r="BP89"/>
  <c r="AZ74"/>
  <c r="AE84"/>
  <c r="AK84"/>
  <c r="AV89"/>
  <c r="BJ89"/>
  <c r="AI74"/>
  <c r="BH84"/>
  <c r="AU124"/>
  <c r="BK84"/>
  <c r="BG124"/>
  <c r="BA119"/>
  <c r="AM84"/>
  <c r="BN74"/>
  <c r="AV84"/>
  <c r="Y84"/>
  <c r="Y40"/>
  <c r="X40" s="1"/>
  <c r="BN89"/>
  <c r="AM74"/>
  <c r="BM74"/>
  <c r="BO89"/>
  <c r="BN84"/>
  <c r="BM119"/>
  <c r="BB74"/>
  <c r="AJ84"/>
  <c r="BI89"/>
  <c r="BL89"/>
  <c r="AJ89"/>
  <c r="AU74"/>
  <c r="BI40"/>
  <c r="BL84"/>
  <c r="AC80"/>
  <c r="AG89"/>
  <c r="AZ84"/>
  <c r="AX40"/>
  <c r="BG80"/>
  <c r="BE89"/>
  <c r="BP40"/>
  <c r="BA80"/>
  <c r="Z40"/>
  <c r="AI80"/>
  <c r="AM89"/>
  <c r="BH80"/>
  <c r="BF84"/>
  <c r="Z119"/>
  <c r="BI124"/>
  <c r="BM80"/>
  <c r="BL40"/>
  <c r="BK89"/>
  <c r="AT84"/>
  <c r="BP119"/>
  <c r="BO119" s="1"/>
  <c r="W80"/>
  <c r="AT40"/>
  <c r="AA89"/>
  <c r="AN84"/>
  <c r="AO80"/>
  <c r="AX119"/>
  <c r="AB40"/>
  <c r="AE80"/>
  <c r="Y124"/>
  <c r="AZ40"/>
  <c r="BH119"/>
  <c r="AF119"/>
  <c r="AF40"/>
  <c r="AA119"/>
  <c r="AK40"/>
  <c r="BH89"/>
  <c r="Z89"/>
  <c r="V40"/>
  <c r="AN74"/>
  <c r="AV119"/>
  <c r="AU119" s="1"/>
  <c r="BA74"/>
  <c r="AW124"/>
  <c r="AV124" s="1"/>
  <c r="BD119"/>
  <c r="AW40"/>
  <c r="AH40"/>
  <c r="BL119"/>
  <c r="AE124"/>
  <c r="AM80"/>
  <c r="AE40"/>
  <c r="AD89"/>
  <c r="AX89"/>
  <c r="AN40"/>
  <c r="AG74"/>
  <c r="AR119"/>
  <c r="BD40"/>
  <c r="BC124"/>
  <c r="AQ40"/>
  <c r="X89"/>
  <c r="AF89"/>
  <c r="AS74"/>
  <c r="AY119"/>
  <c r="BC40"/>
  <c r="BB119"/>
  <c r="AG119"/>
  <c r="AQ124"/>
  <c r="BO80"/>
  <c r="BA124"/>
  <c r="BC80"/>
  <c r="AL40"/>
  <c r="BO124"/>
  <c r="AN124"/>
  <c r="AB119"/>
  <c r="BQ80"/>
  <c r="V124"/>
  <c r="X80"/>
  <c r="AW89"/>
  <c r="BI80"/>
  <c r="AZ119"/>
  <c r="AM119"/>
  <c r="AL119" s="1"/>
  <c r="AN89"/>
  <c r="BK80"/>
  <c r="AT124"/>
  <c r="AP119"/>
  <c r="AP80"/>
  <c r="W74"/>
  <c r="BL124"/>
  <c r="AT119"/>
  <c r="AS119" s="1"/>
  <c r="AY80"/>
  <c r="AE89"/>
  <c r="AW80"/>
  <c r="AH119"/>
  <c r="BE119"/>
  <c r="AH89"/>
  <c r="AG80"/>
  <c r="AZ124"/>
  <c r="BN80"/>
  <c r="AC74"/>
  <c r="Y80"/>
  <c r="AN119"/>
  <c r="BQ119"/>
  <c r="AZ89"/>
  <c r="BE80"/>
  <c r="BE124"/>
  <c r="BF124"/>
  <c r="X119"/>
  <c r="AJ119"/>
  <c r="AV80"/>
  <c r="BG74"/>
  <c r="AA80"/>
  <c r="AB124"/>
  <c r="BB80"/>
  <c r="BC89"/>
  <c r="V119"/>
  <c r="AS124"/>
  <c r="AC124"/>
  <c r="BM124"/>
  <c r="AA124"/>
  <c r="BL74"/>
  <c r="AO124"/>
  <c r="AA74"/>
  <c r="AI124"/>
  <c r="BK124"/>
  <c r="BJ124" s="1"/>
  <c r="BE74"/>
  <c r="AT74"/>
  <c r="AG124"/>
  <c r="AM124"/>
  <c r="BQ74"/>
  <c r="BF74"/>
  <c r="AH74"/>
  <c r="BK74"/>
  <c r="AB74"/>
  <c r="AY124"/>
  <c r="Q90" i="59"/>
  <c r="K101"/>
  <c r="O90"/>
  <c r="M90"/>
  <c r="Q101"/>
  <c r="M101"/>
  <c r="I90"/>
  <c r="K90"/>
  <c r="O101"/>
  <c r="I101"/>
  <c r="AG101" i="76"/>
  <c r="BE101"/>
  <c r="AA101"/>
  <c r="AY101"/>
  <c r="AM101"/>
  <c r="BQ101"/>
  <c r="BK101"/>
  <c r="AS101"/>
  <c r="W85"/>
  <c r="AU85"/>
  <c r="AC85"/>
  <c r="BG85"/>
  <c r="BF85" s="1"/>
  <c r="BA85"/>
  <c r="AI85"/>
  <c r="BM85"/>
  <c r="AI106"/>
  <c r="BG106"/>
  <c r="W106"/>
  <c r="AU106"/>
  <c r="BA106"/>
  <c r="BM106"/>
  <c r="AC106"/>
  <c r="AO106"/>
  <c r="AC39"/>
  <c r="BA39"/>
  <c r="AO39"/>
  <c r="W39"/>
  <c r="AU39"/>
  <c r="BG39"/>
  <c r="BM39"/>
  <c r="AI39"/>
  <c r="BF91"/>
  <c r="AT91"/>
  <c r="AN91"/>
  <c r="V91"/>
  <c r="AB91"/>
  <c r="AA91" s="1"/>
  <c r="BL91"/>
  <c r="AH91"/>
  <c r="BD55"/>
  <c r="BJ55"/>
  <c r="BI55" s="1"/>
  <c r="AX55"/>
  <c r="AL55"/>
  <c r="Z55"/>
  <c r="AF55"/>
  <c r="BP55"/>
  <c r="AS76"/>
  <c r="AA76"/>
  <c r="BQ76"/>
  <c r="BK76"/>
  <c r="AG76"/>
  <c r="BE76"/>
  <c r="AM76"/>
  <c r="AG47"/>
  <c r="BQ47"/>
  <c r="BK47"/>
  <c r="BE47"/>
  <c r="AM47"/>
  <c r="AL47" s="1"/>
  <c r="AK47" s="1"/>
  <c r="AY47"/>
  <c r="AA47"/>
  <c r="AO23"/>
  <c r="BM23"/>
  <c r="AC23"/>
  <c r="BA23"/>
  <c r="W23"/>
  <c r="BG23"/>
  <c r="AU23"/>
  <c r="AI23"/>
  <c r="AR75"/>
  <c r="BP75"/>
  <c r="Z75"/>
  <c r="AX75"/>
  <c r="AF75"/>
  <c r="BJ75"/>
  <c r="BD75"/>
  <c r="AL75"/>
  <c r="AZ28"/>
  <c r="AH28"/>
  <c r="V28"/>
  <c r="S28" s="1"/>
  <c r="AN28"/>
  <c r="BF28"/>
  <c r="AB28"/>
  <c r="AT28"/>
  <c r="AL100"/>
  <c r="BD100"/>
  <c r="BP100"/>
  <c r="AX100"/>
  <c r="AW100" s="1"/>
  <c r="Z100"/>
  <c r="AR100"/>
  <c r="BJ100"/>
  <c r="AG94"/>
  <c r="BE94"/>
  <c r="AA94"/>
  <c r="BQ94"/>
  <c r="AY94"/>
  <c r="BK94"/>
  <c r="AS94"/>
  <c r="AM94"/>
  <c r="AN86"/>
  <c r="BL86"/>
  <c r="AB86"/>
  <c r="V86"/>
  <c r="AT86"/>
  <c r="AZ86"/>
  <c r="BF86"/>
  <c r="AH86"/>
  <c r="AZ69"/>
  <c r="AH69"/>
  <c r="V69"/>
  <c r="AT69"/>
  <c r="AB69"/>
  <c r="BF69"/>
  <c r="AN69"/>
  <c r="BL69"/>
  <c r="BP70"/>
  <c r="Z70"/>
  <c r="AR70"/>
  <c r="AX70"/>
  <c r="AL70"/>
  <c r="AF70"/>
  <c r="BD70"/>
  <c r="BJ70"/>
  <c r="BF121"/>
  <c r="V121"/>
  <c r="AN121"/>
  <c r="BL121"/>
  <c r="AH121"/>
  <c r="AT121"/>
  <c r="AB121"/>
  <c r="AZ121"/>
  <c r="W81"/>
  <c r="BA81"/>
  <c r="BM81"/>
  <c r="AU81"/>
  <c r="AC81"/>
  <c r="AI81"/>
  <c r="BG81"/>
  <c r="AO81"/>
  <c r="BO96"/>
  <c r="Y96"/>
  <c r="BC96"/>
  <c r="AK96"/>
  <c r="AQ96"/>
  <c r="BI96"/>
  <c r="AE96"/>
  <c r="BQ106"/>
  <c r="AS106"/>
  <c r="BE106"/>
  <c r="AA106"/>
  <c r="AY106"/>
  <c r="AG106"/>
  <c r="AM106"/>
  <c r="BK106"/>
  <c r="AO126"/>
  <c r="BM126"/>
  <c r="BA126"/>
  <c r="AC126"/>
  <c r="W126"/>
  <c r="AI126"/>
  <c r="BG126"/>
  <c r="AU126"/>
  <c r="AA99"/>
  <c r="AS99"/>
  <c r="AM99"/>
  <c r="AG99"/>
  <c r="AF99" s="1"/>
  <c r="BQ99"/>
  <c r="BK99"/>
  <c r="AY99"/>
  <c r="Y95"/>
  <c r="BI95"/>
  <c r="BH95" s="1"/>
  <c r="AK95"/>
  <c r="BC95"/>
  <c r="AQ95"/>
  <c r="AE95"/>
  <c r="BO95"/>
  <c r="AR39"/>
  <c r="BP39"/>
  <c r="BD39"/>
  <c r="Z39"/>
  <c r="AX39"/>
  <c r="AF39"/>
  <c r="BJ39"/>
  <c r="AL39"/>
  <c r="BE120"/>
  <c r="BK120"/>
  <c r="AM120"/>
  <c r="AA120"/>
  <c r="AS120"/>
  <c r="BQ120"/>
  <c r="AY120"/>
  <c r="AG120"/>
  <c r="AS110"/>
  <c r="AA110"/>
  <c r="BQ110"/>
  <c r="AM110"/>
  <c r="AG110"/>
  <c r="AY110"/>
  <c r="BE110"/>
  <c r="BK110"/>
  <c r="AT125"/>
  <c r="AN125"/>
  <c r="AB125"/>
  <c r="AZ125"/>
  <c r="BF125"/>
  <c r="AH125"/>
  <c r="V125"/>
  <c r="BD91"/>
  <c r="BC91" s="1"/>
  <c r="Z91"/>
  <c r="BP91"/>
  <c r="AX91"/>
  <c r="BJ91"/>
  <c r="AF91"/>
  <c r="AL91"/>
  <c r="AR91"/>
  <c r="AZ104"/>
  <c r="AB104"/>
  <c r="BL104"/>
  <c r="BF104"/>
  <c r="AN104"/>
  <c r="V104"/>
  <c r="AT104"/>
  <c r="AH104"/>
  <c r="AA71"/>
  <c r="AY71"/>
  <c r="AM71"/>
  <c r="BE71"/>
  <c r="BK71"/>
  <c r="BQ71"/>
  <c r="AG71"/>
  <c r="AS71"/>
  <c r="AF56"/>
  <c r="BP56"/>
  <c r="AL56"/>
  <c r="AK56" s="1"/>
  <c r="AR56"/>
  <c r="AX56"/>
  <c r="AW56" s="1"/>
  <c r="Z56"/>
  <c r="BD56"/>
  <c r="AW101"/>
  <c r="AE101"/>
  <c r="AQ101"/>
  <c r="Y101"/>
  <c r="BC101"/>
  <c r="AK101"/>
  <c r="BI101"/>
  <c r="BO101"/>
  <c r="BQ55"/>
  <c r="BK55"/>
  <c r="BE55"/>
  <c r="AA55"/>
  <c r="AS55"/>
  <c r="AR55" s="1"/>
  <c r="AG55"/>
  <c r="AY55"/>
  <c r="BI76"/>
  <c r="AK76"/>
  <c r="AE76"/>
  <c r="AW76"/>
  <c r="BO76"/>
  <c r="AQ76"/>
  <c r="AP76" s="1"/>
  <c r="Y76"/>
  <c r="AE79"/>
  <c r="AQ79"/>
  <c r="BC79"/>
  <c r="AK79"/>
  <c r="Y79"/>
  <c r="BI79"/>
  <c r="BO79"/>
  <c r="AW79"/>
  <c r="BM111"/>
  <c r="AC111"/>
  <c r="BA111"/>
  <c r="AI111"/>
  <c r="AO111"/>
  <c r="BG111"/>
  <c r="W111"/>
  <c r="AU111"/>
  <c r="AB47"/>
  <c r="AZ47"/>
  <c r="AH47"/>
  <c r="AT47"/>
  <c r="AS47" s="1"/>
  <c r="BF47"/>
  <c r="BL47"/>
  <c r="AN47"/>
  <c r="V47"/>
  <c r="BL23"/>
  <c r="AB23"/>
  <c r="V23"/>
  <c r="AT23"/>
  <c r="AN23"/>
  <c r="AZ23"/>
  <c r="BF23"/>
  <c r="AH23"/>
  <c r="AE75"/>
  <c r="BC75"/>
  <c r="Y75"/>
  <c r="BI75"/>
  <c r="AW75"/>
  <c r="AK75"/>
  <c r="AQ75"/>
  <c r="BO75"/>
  <c r="AF28"/>
  <c r="BJ28"/>
  <c r="BP28"/>
  <c r="BO28" s="1"/>
  <c r="BD28"/>
  <c r="AR28"/>
  <c r="AQ28" s="1"/>
  <c r="AL28"/>
  <c r="AB100"/>
  <c r="AT100"/>
  <c r="BL100"/>
  <c r="AH100"/>
  <c r="AN100"/>
  <c r="BF100"/>
  <c r="AZ100"/>
  <c r="V100"/>
  <c r="BQ27"/>
  <c r="BK27"/>
  <c r="BE27"/>
  <c r="AY27"/>
  <c r="AM27"/>
  <c r="AS27"/>
  <c r="AR27" s="1"/>
  <c r="AG27"/>
  <c r="BP94"/>
  <c r="BD94"/>
  <c r="AF94"/>
  <c r="Z94"/>
  <c r="AX94"/>
  <c r="AR94"/>
  <c r="AL94"/>
  <c r="BJ94"/>
  <c r="Y109"/>
  <c r="AQ109"/>
  <c r="AE109"/>
  <c r="BC109"/>
  <c r="AW109"/>
  <c r="AK109"/>
  <c r="BI109"/>
  <c r="AM69"/>
  <c r="BK69"/>
  <c r="AY69"/>
  <c r="AG69"/>
  <c r="BE69"/>
  <c r="AS69"/>
  <c r="BQ69"/>
  <c r="AA69"/>
  <c r="AQ70"/>
  <c r="BO70"/>
  <c r="AE70"/>
  <c r="BC70"/>
  <c r="Y70"/>
  <c r="BI70"/>
  <c r="AW70"/>
  <c r="AK70"/>
  <c r="BH121"/>
  <c r="X121"/>
  <c r="AD121"/>
  <c r="AJ121"/>
  <c r="AP121"/>
  <c r="BN121"/>
  <c r="AV121"/>
  <c r="BB121"/>
  <c r="V81"/>
  <c r="AT81"/>
  <c r="BL81"/>
  <c r="AZ81"/>
  <c r="AB81"/>
  <c r="AH81"/>
  <c r="AN81"/>
  <c r="BF81"/>
  <c r="AQ105"/>
  <c r="BI105"/>
  <c r="BC105"/>
  <c r="AW105"/>
  <c r="AV105" s="1"/>
  <c r="BO105"/>
  <c r="BN105" s="1"/>
  <c r="Y105"/>
  <c r="AE105"/>
  <c r="BH106"/>
  <c r="X106"/>
  <c r="BN106"/>
  <c r="AD106"/>
  <c r="BB106"/>
  <c r="AP106"/>
  <c r="AJ106"/>
  <c r="AV106"/>
  <c r="Y126"/>
  <c r="AW126"/>
  <c r="BC126"/>
  <c r="AK126"/>
  <c r="BI126"/>
  <c r="AQ126"/>
  <c r="BO126"/>
  <c r="AE126"/>
  <c r="AI99"/>
  <c r="BA99"/>
  <c r="AZ99" s="1"/>
  <c r="BM99"/>
  <c r="AC99"/>
  <c r="AU99"/>
  <c r="AO99"/>
  <c r="BG99"/>
  <c r="W99"/>
  <c r="AM95"/>
  <c r="AS95"/>
  <c r="BK95"/>
  <c r="BJ95" s="1"/>
  <c r="BQ95"/>
  <c r="AY95"/>
  <c r="AG95"/>
  <c r="BE95"/>
  <c r="AH39"/>
  <c r="BF39"/>
  <c r="AT39"/>
  <c r="BL39"/>
  <c r="AB39"/>
  <c r="AZ39"/>
  <c r="V39"/>
  <c r="AN39"/>
  <c r="AF120"/>
  <c r="BD120"/>
  <c r="BJ120"/>
  <c r="AR120"/>
  <c r="BP120"/>
  <c r="Z120"/>
  <c r="AL120"/>
  <c r="AX120"/>
  <c r="AD110"/>
  <c r="BB110"/>
  <c r="AP110"/>
  <c r="BN110"/>
  <c r="BH110"/>
  <c r="AJ110"/>
  <c r="X110"/>
  <c r="AV110"/>
  <c r="BG125"/>
  <c r="AO125"/>
  <c r="W125"/>
  <c r="BM125"/>
  <c r="BL125" s="1"/>
  <c r="AU125"/>
  <c r="BA125"/>
  <c r="AI125"/>
  <c r="BM91"/>
  <c r="AI91"/>
  <c r="AC91"/>
  <c r="W91"/>
  <c r="BA91"/>
  <c r="AZ91" s="1"/>
  <c r="AO91"/>
  <c r="BG91"/>
  <c r="AT63"/>
  <c r="AZ63"/>
  <c r="AH63"/>
  <c r="BF63"/>
  <c r="AB63"/>
  <c r="AN63"/>
  <c r="BL63"/>
  <c r="V63"/>
  <c r="Z104"/>
  <c r="AX104"/>
  <c r="AF104"/>
  <c r="AR104"/>
  <c r="BD104"/>
  <c r="BP104"/>
  <c r="BJ104"/>
  <c r="AL104"/>
  <c r="Z71"/>
  <c r="AX71"/>
  <c r="AL71"/>
  <c r="BJ71"/>
  <c r="AF71"/>
  <c r="BP71"/>
  <c r="AR71"/>
  <c r="BD71"/>
  <c r="AN56"/>
  <c r="AM56" s="1"/>
  <c r="AH56"/>
  <c r="BF56"/>
  <c r="BL56"/>
  <c r="V56"/>
  <c r="AZ56"/>
  <c r="AZ76"/>
  <c r="AY76" s="1"/>
  <c r="AT76"/>
  <c r="AH76"/>
  <c r="BF76"/>
  <c r="AB76"/>
  <c r="BL76"/>
  <c r="AN76"/>
  <c r="BB111"/>
  <c r="AJ111"/>
  <c r="BH111"/>
  <c r="X111"/>
  <c r="AP111"/>
  <c r="BN111"/>
  <c r="AV111"/>
  <c r="AD111"/>
  <c r="BN28"/>
  <c r="AP28"/>
  <c r="BH28"/>
  <c r="AJ28"/>
  <c r="X28"/>
  <c r="BB28"/>
  <c r="AM100"/>
  <c r="BE100"/>
  <c r="BQ100"/>
  <c r="BK100"/>
  <c r="AS100"/>
  <c r="AG100"/>
  <c r="AF100" s="1"/>
  <c r="AY100"/>
  <c r="AA100"/>
  <c r="AA70"/>
  <c r="AY70"/>
  <c r="AG70"/>
  <c r="BK70"/>
  <c r="BE70"/>
  <c r="AM70"/>
  <c r="AS70"/>
  <c r="BQ70"/>
  <c r="AP81"/>
  <c r="BN81"/>
  <c r="X81"/>
  <c r="BH81"/>
  <c r="AD81"/>
  <c r="BB81"/>
  <c r="AV81"/>
  <c r="AJ81"/>
  <c r="AN90"/>
  <c r="BL90"/>
  <c r="AZ90"/>
  <c r="BF90"/>
  <c r="V90"/>
  <c r="AB90"/>
  <c r="AT90"/>
  <c r="AH90"/>
  <c r="AN101"/>
  <c r="BL101"/>
  <c r="AT101"/>
  <c r="BF101"/>
  <c r="AH101"/>
  <c r="AB101"/>
  <c r="V101"/>
  <c r="AZ101"/>
  <c r="AZ111"/>
  <c r="AN111"/>
  <c r="BL111"/>
  <c r="AH111"/>
  <c r="BF111"/>
  <c r="V111"/>
  <c r="AB111"/>
  <c r="AT111"/>
  <c r="AX38"/>
  <c r="AL38"/>
  <c r="BP38"/>
  <c r="BJ38"/>
  <c r="BI38" s="1"/>
  <c r="BD38"/>
  <c r="AF38"/>
  <c r="Z38"/>
  <c r="BJ76"/>
  <c r="AF76"/>
  <c r="AX76"/>
  <c r="BP76"/>
  <c r="AL76"/>
  <c r="AR76"/>
  <c r="BD76"/>
  <c r="BC76" s="1"/>
  <c r="Z76"/>
  <c r="AQ94"/>
  <c r="BO94"/>
  <c r="BC94"/>
  <c r="Y94"/>
  <c r="AW94"/>
  <c r="AE94"/>
  <c r="BI94"/>
  <c r="AK94"/>
  <c r="AJ70"/>
  <c r="BH70"/>
  <c r="AV70"/>
  <c r="AP70"/>
  <c r="X70"/>
  <c r="BB70"/>
  <c r="BN70"/>
  <c r="AD70"/>
  <c r="BF105"/>
  <c r="AB105"/>
  <c r="AA105" s="1"/>
  <c r="AN105"/>
  <c r="AT105"/>
  <c r="V105"/>
  <c r="AZ105"/>
  <c r="AY105" s="1"/>
  <c r="AX105" s="1"/>
  <c r="AH105"/>
  <c r="V126"/>
  <c r="AT126"/>
  <c r="AB126"/>
  <c r="BF126"/>
  <c r="AZ126"/>
  <c r="BL126"/>
  <c r="AH126"/>
  <c r="AN126"/>
  <c r="BB95"/>
  <c r="AJ95"/>
  <c r="AI95" s="1"/>
  <c r="BN95"/>
  <c r="AV95"/>
  <c r="AD95"/>
  <c r="AP95"/>
  <c r="X95"/>
  <c r="AW120"/>
  <c r="AE120"/>
  <c r="BI120"/>
  <c r="AQ120"/>
  <c r="BO120"/>
  <c r="Y120"/>
  <c r="BC120"/>
  <c r="AK120"/>
  <c r="BM90"/>
  <c r="W90"/>
  <c r="BG90"/>
  <c r="AI90"/>
  <c r="BA90"/>
  <c r="AO90"/>
  <c r="AC90"/>
  <c r="AU90"/>
  <c r="AW71"/>
  <c r="AE71"/>
  <c r="AQ71"/>
  <c r="BO71"/>
  <c r="Y71"/>
  <c r="BC71"/>
  <c r="AK71"/>
  <c r="BI71"/>
  <c r="BO56"/>
  <c r="BN56" s="1"/>
  <c r="BM56" s="1"/>
  <c r="AQ56"/>
  <c r="AE56"/>
  <c r="BI56"/>
  <c r="BC56"/>
  <c r="Y56"/>
  <c r="BH55"/>
  <c r="AP55"/>
  <c r="BB55"/>
  <c r="X55"/>
  <c r="W55" s="1"/>
  <c r="V55" s="1"/>
  <c r="BN55"/>
  <c r="AV55"/>
  <c r="AJ55"/>
  <c r="AD55"/>
  <c r="BH38"/>
  <c r="AV38"/>
  <c r="X38"/>
  <c r="AD38"/>
  <c r="AP38"/>
  <c r="AJ38"/>
  <c r="BN38"/>
  <c r="BP79"/>
  <c r="AF79"/>
  <c r="BJ79"/>
  <c r="AX79"/>
  <c r="BD79"/>
  <c r="Z79"/>
  <c r="AR79"/>
  <c r="AL79"/>
  <c r="C161"/>
  <c r="V68"/>
  <c r="AA23"/>
  <c r="AM23"/>
  <c r="AY23"/>
  <c r="BQ23"/>
  <c r="BE23"/>
  <c r="BK23"/>
  <c r="AG23"/>
  <c r="AS23"/>
  <c r="AC75"/>
  <c r="BA75"/>
  <c r="BG75"/>
  <c r="AO75"/>
  <c r="BM75"/>
  <c r="AU75"/>
  <c r="AI75"/>
  <c r="W75"/>
  <c r="BO27"/>
  <c r="AW27"/>
  <c r="Y27"/>
  <c r="BC27"/>
  <c r="BI27"/>
  <c r="AK27"/>
  <c r="AJ27" s="1"/>
  <c r="AQ27"/>
  <c r="BF94"/>
  <c r="V94"/>
  <c r="AN94"/>
  <c r="AT94"/>
  <c r="AB94"/>
  <c r="AZ94"/>
  <c r="BL94"/>
  <c r="AH94"/>
  <c r="BK109"/>
  <c r="AG109"/>
  <c r="BE109"/>
  <c r="BQ109"/>
  <c r="AA109"/>
  <c r="AS109"/>
  <c r="AY109"/>
  <c r="AX109" s="1"/>
  <c r="BP86"/>
  <c r="AR86"/>
  <c r="AX86"/>
  <c r="BD86"/>
  <c r="BJ86"/>
  <c r="Z86"/>
  <c r="AF86"/>
  <c r="AL86"/>
  <c r="BF70"/>
  <c r="AN70"/>
  <c r="AB70"/>
  <c r="AZ70"/>
  <c r="AH70"/>
  <c r="BL70"/>
  <c r="V70"/>
  <c r="AT70"/>
  <c r="AG85"/>
  <c r="BQ85"/>
  <c r="BK85"/>
  <c r="AM85"/>
  <c r="AY85"/>
  <c r="BE85"/>
  <c r="BD85" s="1"/>
  <c r="AS85"/>
  <c r="AS81"/>
  <c r="AM81"/>
  <c r="BE81"/>
  <c r="AG81"/>
  <c r="BK81"/>
  <c r="AA81"/>
  <c r="BQ81"/>
  <c r="AY81"/>
  <c r="BE105"/>
  <c r="BK105"/>
  <c r="AM105"/>
  <c r="BQ105"/>
  <c r="AG105"/>
  <c r="AS105"/>
  <c r="AV96"/>
  <c r="AP96"/>
  <c r="AD96"/>
  <c r="AJ96"/>
  <c r="X96"/>
  <c r="BH96"/>
  <c r="BG96" s="1"/>
  <c r="BN96"/>
  <c r="BB96"/>
  <c r="AJ126"/>
  <c r="BH126"/>
  <c r="AD126"/>
  <c r="BB126"/>
  <c r="AP126"/>
  <c r="AV126"/>
  <c r="BN126"/>
  <c r="X126"/>
  <c r="AL95"/>
  <c r="Z95"/>
  <c r="BP95"/>
  <c r="AR95"/>
  <c r="AF95"/>
  <c r="AX95"/>
  <c r="AW95" s="1"/>
  <c r="BD95"/>
  <c r="AO120"/>
  <c r="BM120"/>
  <c r="BA120"/>
  <c r="AC120"/>
  <c r="AI120"/>
  <c r="BG120"/>
  <c r="W120"/>
  <c r="AU120"/>
  <c r="AF110"/>
  <c r="BD110"/>
  <c r="BJ110"/>
  <c r="AR110"/>
  <c r="BP110"/>
  <c r="Z110"/>
  <c r="AX110"/>
  <c r="AL110"/>
  <c r="AM90"/>
  <c r="BK90"/>
  <c r="AY90"/>
  <c r="BQ90"/>
  <c r="BE90"/>
  <c r="AA90"/>
  <c r="AS90"/>
  <c r="AG90"/>
  <c r="AE91"/>
  <c r="BI91"/>
  <c r="BO91"/>
  <c r="BN91" s="1"/>
  <c r="Y91"/>
  <c r="AQ91"/>
  <c r="AW91"/>
  <c r="AK91"/>
  <c r="AE63"/>
  <c r="BC63"/>
  <c r="AQ63"/>
  <c r="BO63"/>
  <c r="Y63"/>
  <c r="AW63"/>
  <c r="BI63"/>
  <c r="AK63"/>
  <c r="V5"/>
  <c r="AJ71"/>
  <c r="BH71"/>
  <c r="AV71"/>
  <c r="BB71"/>
  <c r="BN71"/>
  <c r="X71"/>
  <c r="AD71"/>
  <c r="AP71"/>
  <c r="AC56"/>
  <c r="AB56" s="1"/>
  <c r="AI56"/>
  <c r="BG56"/>
  <c r="AO56"/>
  <c r="AU56"/>
  <c r="AT56" s="1"/>
  <c r="AS56" s="1"/>
  <c r="W56"/>
  <c r="BA56"/>
  <c r="AN55"/>
  <c r="AM55" s="1"/>
  <c r="AH55"/>
  <c r="BL55"/>
  <c r="AZ55"/>
  <c r="AB55"/>
  <c r="AT55"/>
  <c r="BF55"/>
  <c r="V163"/>
  <c r="BG69"/>
  <c r="AO69"/>
  <c r="AI69"/>
  <c r="BM69"/>
  <c r="AC69"/>
  <c r="W69"/>
  <c r="BA69"/>
  <c r="AU69"/>
  <c r="AY96"/>
  <c r="BQ96"/>
  <c r="AM96"/>
  <c r="AL96" s="1"/>
  <c r="AG96"/>
  <c r="AA96"/>
  <c r="BK96"/>
  <c r="BE96"/>
  <c r="BN125"/>
  <c r="AV125"/>
  <c r="BH125"/>
  <c r="BB125"/>
  <c r="AP125"/>
  <c r="AJ125"/>
  <c r="X125"/>
  <c r="AD125"/>
  <c r="AC125" s="1"/>
  <c r="AY56"/>
  <c r="BQ56"/>
  <c r="AA56"/>
  <c r="BK56"/>
  <c r="BJ56" s="1"/>
  <c r="AG56"/>
  <c r="BE56"/>
  <c r="AS79"/>
  <c r="AM79"/>
  <c r="BE79"/>
  <c r="AA79"/>
  <c r="BQ79"/>
  <c r="AG79"/>
  <c r="BK79"/>
  <c r="AY79"/>
  <c r="X101"/>
  <c r="AP101"/>
  <c r="AJ101"/>
  <c r="AV101"/>
  <c r="BN101"/>
  <c r="BB101"/>
  <c r="BH101"/>
  <c r="AD101"/>
  <c r="BH79"/>
  <c r="X79"/>
  <c r="AJ79"/>
  <c r="AV79"/>
  <c r="AD79"/>
  <c r="BN79"/>
  <c r="BB79"/>
  <c r="AP79"/>
  <c r="AD75"/>
  <c r="BB75"/>
  <c r="BN75"/>
  <c r="AP75"/>
  <c r="AV75"/>
  <c r="X75"/>
  <c r="AJ75"/>
  <c r="BH75"/>
  <c r="BM28"/>
  <c r="BL28" s="1"/>
  <c r="AI28"/>
  <c r="W28"/>
  <c r="AU28"/>
  <c r="AO28"/>
  <c r="BA28"/>
  <c r="BG28"/>
  <c r="AC28"/>
  <c r="AX27"/>
  <c r="Z27"/>
  <c r="AF27"/>
  <c r="AE27" s="1"/>
  <c r="BP27"/>
  <c r="AL27"/>
  <c r="BD27"/>
  <c r="BJ27"/>
  <c r="BP69"/>
  <c r="Z69"/>
  <c r="BJ69"/>
  <c r="AL69"/>
  <c r="AF69"/>
  <c r="AR69"/>
  <c r="AQ69" s="1"/>
  <c r="AX69"/>
  <c r="BD69"/>
  <c r="AZ85"/>
  <c r="AH85"/>
  <c r="V85"/>
  <c r="AT85"/>
  <c r="AB85"/>
  <c r="AA85" s="1"/>
  <c r="BL85"/>
  <c r="AN85"/>
  <c r="W110"/>
  <c r="AC110"/>
  <c r="AU110"/>
  <c r="BG110"/>
  <c r="AO110"/>
  <c r="BM110"/>
  <c r="BA110"/>
  <c r="AI110"/>
  <c r="AS63"/>
  <c r="AA63"/>
  <c r="BK63"/>
  <c r="BQ63"/>
  <c r="AY63"/>
  <c r="AG63"/>
  <c r="AM63"/>
  <c r="BE63"/>
  <c r="AC55"/>
  <c r="AI55"/>
  <c r="AO55"/>
  <c r="BG55"/>
  <c r="AU55"/>
  <c r="BM55"/>
  <c r="BA55"/>
  <c r="Y38"/>
  <c r="AE38"/>
  <c r="AK38"/>
  <c r="AQ38"/>
  <c r="AW38"/>
  <c r="BO38"/>
  <c r="BC38"/>
  <c r="BB38" s="1"/>
  <c r="BA38" s="1"/>
  <c r="AZ38" s="1"/>
  <c r="BF79"/>
  <c r="AZ79"/>
  <c r="V79"/>
  <c r="BL79"/>
  <c r="AB79"/>
  <c r="AN79"/>
  <c r="AT79"/>
  <c r="AH79"/>
  <c r="BA47"/>
  <c r="AO47"/>
  <c r="BG47"/>
  <c r="AU47"/>
  <c r="BM47"/>
  <c r="AI47"/>
  <c r="AC47"/>
  <c r="V75"/>
  <c r="AT75"/>
  <c r="BF75"/>
  <c r="AH75"/>
  <c r="AN75"/>
  <c r="BL75"/>
  <c r="AB75"/>
  <c r="AZ75"/>
  <c r="AO100"/>
  <c r="BG100"/>
  <c r="BA100"/>
  <c r="W100"/>
  <c r="AC100"/>
  <c r="BM100"/>
  <c r="AU100"/>
  <c r="BG27"/>
  <c r="AC27"/>
  <c r="AI27"/>
  <c r="AH27" s="1"/>
  <c r="W27"/>
  <c r="BA27"/>
  <c r="AO27"/>
  <c r="BM27"/>
  <c r="AV94"/>
  <c r="AP94"/>
  <c r="AJ94"/>
  <c r="X94"/>
  <c r="BN94"/>
  <c r="AD94"/>
  <c r="BH94"/>
  <c r="BB94"/>
  <c r="AL109"/>
  <c r="BD109"/>
  <c r="AR109"/>
  <c r="BP109"/>
  <c r="BO109" s="1"/>
  <c r="BJ109"/>
  <c r="AF109"/>
  <c r="Z109"/>
  <c r="AK86"/>
  <c r="AQ86"/>
  <c r="BI86"/>
  <c r="BO86"/>
  <c r="Y86"/>
  <c r="AE86"/>
  <c r="BC86"/>
  <c r="AW86"/>
  <c r="BG70"/>
  <c r="W70"/>
  <c r="AC70"/>
  <c r="AI70"/>
  <c r="AO70"/>
  <c r="BM70"/>
  <c r="AU70"/>
  <c r="BA70"/>
  <c r="BJ85"/>
  <c r="AF85"/>
  <c r="AL85"/>
  <c r="AX85"/>
  <c r="Z85"/>
  <c r="AR85"/>
  <c r="BP85"/>
  <c r="AL121"/>
  <c r="BJ121"/>
  <c r="AF121"/>
  <c r="BD121"/>
  <c r="BP121"/>
  <c r="AR121"/>
  <c r="Z121"/>
  <c r="AX121"/>
  <c r="AD105"/>
  <c r="AJ105"/>
  <c r="BH105"/>
  <c r="AP105"/>
  <c r="BB105"/>
  <c r="X105"/>
  <c r="AO96"/>
  <c r="W96"/>
  <c r="AU96"/>
  <c r="AC96"/>
  <c r="BM96"/>
  <c r="AI96"/>
  <c r="BA96"/>
  <c r="AZ96" s="1"/>
  <c r="BQ126"/>
  <c r="AG126"/>
  <c r="AM126"/>
  <c r="AA126"/>
  <c r="AY126"/>
  <c r="BK126"/>
  <c r="AS126"/>
  <c r="BE126"/>
  <c r="BJ99"/>
  <c r="BP99"/>
  <c r="AL99"/>
  <c r="AK99" s="1"/>
  <c r="Z99"/>
  <c r="BD99"/>
  <c r="AX99"/>
  <c r="AR99"/>
  <c r="AU95"/>
  <c r="W95"/>
  <c r="AC95"/>
  <c r="BM95"/>
  <c r="AO95"/>
  <c r="BG95"/>
  <c r="BA95"/>
  <c r="Y39"/>
  <c r="AW39"/>
  <c r="BC39"/>
  <c r="BI39"/>
  <c r="AQ39"/>
  <c r="AK39"/>
  <c r="BO39"/>
  <c r="AE39"/>
  <c r="Y110"/>
  <c r="AW110"/>
  <c r="AQ110"/>
  <c r="AK110"/>
  <c r="AE110"/>
  <c r="BC110"/>
  <c r="BI110"/>
  <c r="BO110"/>
  <c r="AK90"/>
  <c r="AQ90"/>
  <c r="BC90"/>
  <c r="AW90"/>
  <c r="AE90"/>
  <c r="BO90"/>
  <c r="Y90"/>
  <c r="BI90"/>
  <c r="BE125"/>
  <c r="AM125"/>
  <c r="BK125"/>
  <c r="BQ125"/>
  <c r="AG125"/>
  <c r="AS125"/>
  <c r="AA125"/>
  <c r="AY125"/>
  <c r="BD63"/>
  <c r="AL63"/>
  <c r="AX63"/>
  <c r="Z63"/>
  <c r="AR63"/>
  <c r="AF63"/>
  <c r="BJ63"/>
  <c r="BP63"/>
  <c r="AU104"/>
  <c r="AC104"/>
  <c r="BA104"/>
  <c r="AI104"/>
  <c r="AO104"/>
  <c r="BM104"/>
  <c r="BG104"/>
  <c r="W104"/>
  <c r="AN71"/>
  <c r="BL71"/>
  <c r="AH71"/>
  <c r="BF71"/>
  <c r="AZ71"/>
  <c r="V71"/>
  <c r="AB71"/>
  <c r="AT71"/>
  <c r="AJ56"/>
  <c r="AD56"/>
  <c r="AP56"/>
  <c r="BH56"/>
  <c r="BB56"/>
  <c r="AV56"/>
  <c r="X56"/>
  <c r="BB47"/>
  <c r="BN47"/>
  <c r="AJ47"/>
  <c r="BH47"/>
  <c r="AP47"/>
  <c r="X47"/>
  <c r="W47" s="1"/>
  <c r="AD47"/>
  <c r="AV23"/>
  <c r="AP23"/>
  <c r="BH23"/>
  <c r="AJ23"/>
  <c r="BB23"/>
  <c r="BN23"/>
  <c r="X23"/>
  <c r="AD23"/>
  <c r="BG94"/>
  <c r="AI94"/>
  <c r="AO94"/>
  <c r="AU94"/>
  <c r="BM94"/>
  <c r="W94"/>
  <c r="AC94"/>
  <c r="BA94"/>
  <c r="AL126"/>
  <c r="BJ126"/>
  <c r="AR126"/>
  <c r="AX126"/>
  <c r="BP126"/>
  <c r="Z126"/>
  <c r="AF126"/>
  <c r="BD126"/>
  <c r="AT99"/>
  <c r="AB99"/>
  <c r="AN99"/>
  <c r="BL99"/>
  <c r="AH99"/>
  <c r="BF99"/>
  <c r="BE99" s="1"/>
  <c r="V99"/>
  <c r="AV104"/>
  <c r="AD104"/>
  <c r="BN104"/>
  <c r="X104"/>
  <c r="BB104"/>
  <c r="BH104"/>
  <c r="AJ104"/>
  <c r="AP104"/>
  <c r="BQ111"/>
  <c r="AA111"/>
  <c r="BK111"/>
  <c r="AY111"/>
  <c r="AG111"/>
  <c r="AM111"/>
  <c r="BE111"/>
  <c r="AS111"/>
  <c r="Y23"/>
  <c r="AW23"/>
  <c r="BC23"/>
  <c r="BO23"/>
  <c r="AE23"/>
  <c r="AK23"/>
  <c r="BI23"/>
  <c r="AQ23"/>
  <c r="V109"/>
  <c r="AH109"/>
  <c r="AZ109"/>
  <c r="AT109"/>
  <c r="BF109"/>
  <c r="BL109"/>
  <c r="AB109"/>
  <c r="Z81"/>
  <c r="AX81"/>
  <c r="AL81"/>
  <c r="AR81"/>
  <c r="BD81"/>
  <c r="BJ81"/>
  <c r="BP81"/>
  <c r="AF81"/>
  <c r="Z106"/>
  <c r="AR106"/>
  <c r="AL106"/>
  <c r="AX106"/>
  <c r="BP106"/>
  <c r="AF106"/>
  <c r="BD106"/>
  <c r="BJ106"/>
  <c r="AD91"/>
  <c r="AP91"/>
  <c r="X91"/>
  <c r="BH91"/>
  <c r="BB91"/>
  <c r="AV91"/>
  <c r="AU91" s="1"/>
  <c r="AJ91"/>
  <c r="BG101"/>
  <c r="AI101"/>
  <c r="AO101"/>
  <c r="AC101"/>
  <c r="BM101"/>
  <c r="AU101"/>
  <c r="W101"/>
  <c r="BA101"/>
  <c r="BL38"/>
  <c r="AN38"/>
  <c r="BF38"/>
  <c r="V38"/>
  <c r="AH38"/>
  <c r="AT38"/>
  <c r="AS38" s="1"/>
  <c r="AR38" s="1"/>
  <c r="AB38"/>
  <c r="AJ76"/>
  <c r="BB76"/>
  <c r="AV76"/>
  <c r="AU76" s="1"/>
  <c r="BN76"/>
  <c r="BH76"/>
  <c r="X76"/>
  <c r="AD76"/>
  <c r="AU79"/>
  <c r="AC79"/>
  <c r="BM79"/>
  <c r="BA79"/>
  <c r="AI79"/>
  <c r="BG79"/>
  <c r="AO79"/>
  <c r="W79"/>
  <c r="AR111"/>
  <c r="BP111"/>
  <c r="AF111"/>
  <c r="AX111"/>
  <c r="BD111"/>
  <c r="Z111"/>
  <c r="AL111"/>
  <c r="BJ111"/>
  <c r="Y47"/>
  <c r="BC47"/>
  <c r="BI47"/>
  <c r="AW47"/>
  <c r="AV47" s="1"/>
  <c r="AQ47"/>
  <c r="BO47"/>
  <c r="BK75"/>
  <c r="AS75"/>
  <c r="AG75"/>
  <c r="BE75"/>
  <c r="BQ75"/>
  <c r="AA75"/>
  <c r="AY75"/>
  <c r="AM75"/>
  <c r="BB100"/>
  <c r="X100"/>
  <c r="BN100"/>
  <c r="AV100"/>
  <c r="BH100"/>
  <c r="AD100"/>
  <c r="AJ100"/>
  <c r="AI100" s="1"/>
  <c r="AV27"/>
  <c r="AU27" s="1"/>
  <c r="BB27"/>
  <c r="AD27"/>
  <c r="X27"/>
  <c r="AP27"/>
  <c r="BN27"/>
  <c r="BH27"/>
  <c r="AV109"/>
  <c r="AU109" s="1"/>
  <c r="BB109"/>
  <c r="AJ109"/>
  <c r="AD109"/>
  <c r="BN109"/>
  <c r="AP109"/>
  <c r="X109"/>
  <c r="BH109"/>
  <c r="AV86"/>
  <c r="AD86"/>
  <c r="AJ86"/>
  <c r="X86"/>
  <c r="BB86"/>
  <c r="BN86"/>
  <c r="AP86"/>
  <c r="BH86"/>
  <c r="AK69"/>
  <c r="AE69"/>
  <c r="Y69"/>
  <c r="BC69"/>
  <c r="BO69"/>
  <c r="AW69"/>
  <c r="BI69"/>
  <c r="AE85"/>
  <c r="BO85"/>
  <c r="BI85"/>
  <c r="BH85" s="1"/>
  <c r="AK85"/>
  <c r="Y85"/>
  <c r="AQ85"/>
  <c r="BC85"/>
  <c r="AW85"/>
  <c r="BI121"/>
  <c r="AQ121"/>
  <c r="BC121"/>
  <c r="Y121"/>
  <c r="AW121"/>
  <c r="AE121"/>
  <c r="AK121"/>
  <c r="BO121"/>
  <c r="BJ105"/>
  <c r="AF105"/>
  <c r="Z105"/>
  <c r="BD105"/>
  <c r="BP105"/>
  <c r="AR105"/>
  <c r="AL105"/>
  <c r="AK105" s="1"/>
  <c r="V96"/>
  <c r="AB96"/>
  <c r="AT96"/>
  <c r="AS96" s="1"/>
  <c r="BL96"/>
  <c r="AH96"/>
  <c r="AN96"/>
  <c r="BF96"/>
  <c r="AK106"/>
  <c r="BI106"/>
  <c r="AQ106"/>
  <c r="Y106"/>
  <c r="BC106"/>
  <c r="BO106"/>
  <c r="AW106"/>
  <c r="AE106"/>
  <c r="BC99"/>
  <c r="Y99"/>
  <c r="BI99"/>
  <c r="BH99" s="1"/>
  <c r="AE99"/>
  <c r="AW99"/>
  <c r="BO99"/>
  <c r="AQ99"/>
  <c r="AB95"/>
  <c r="AA95" s="1"/>
  <c r="V95"/>
  <c r="AN95"/>
  <c r="AZ95"/>
  <c r="BL95"/>
  <c r="BF95"/>
  <c r="AH95"/>
  <c r="AT95"/>
  <c r="AM39"/>
  <c r="BK39"/>
  <c r="AG39"/>
  <c r="BE39"/>
  <c r="AA39"/>
  <c r="AY39"/>
  <c r="BQ39"/>
  <c r="AS39"/>
  <c r="AN110"/>
  <c r="BL110"/>
  <c r="AZ110"/>
  <c r="BF110"/>
  <c r="V110"/>
  <c r="AT110"/>
  <c r="AB110"/>
  <c r="AH110"/>
  <c r="BJ90"/>
  <c r="AL90"/>
  <c r="BD90"/>
  <c r="AX90"/>
  <c r="BP90"/>
  <c r="AR90"/>
  <c r="AF90"/>
  <c r="Z90"/>
  <c r="AR125"/>
  <c r="Z125"/>
  <c r="BP125"/>
  <c r="AF125"/>
  <c r="BD125"/>
  <c r="BJ125"/>
  <c r="AX125"/>
  <c r="AL125"/>
  <c r="BH63"/>
  <c r="X63"/>
  <c r="AJ63"/>
  <c r="AP63"/>
  <c r="BN63"/>
  <c r="AV63"/>
  <c r="AD63"/>
  <c r="BB63"/>
  <c r="BE104"/>
  <c r="AA104"/>
  <c r="AS104"/>
  <c r="AM104"/>
  <c r="AG104"/>
  <c r="AY104"/>
  <c r="BK104"/>
  <c r="BQ104"/>
  <c r="BG71"/>
  <c r="W71"/>
  <c r="AC71"/>
  <c r="BA71"/>
  <c r="AU71"/>
  <c r="AO71"/>
  <c r="AI71"/>
  <c r="BM71"/>
  <c r="BQ38"/>
  <c r="AG38"/>
  <c r="BE38"/>
  <c r="AM38"/>
  <c r="AY38"/>
  <c r="BK38"/>
  <c r="AA38"/>
  <c r="AI86"/>
  <c r="BG86"/>
  <c r="AU86"/>
  <c r="BA86"/>
  <c r="AO86"/>
  <c r="BM86"/>
  <c r="W86"/>
  <c r="AC86"/>
  <c r="AU121"/>
  <c r="AI121"/>
  <c r="BM121"/>
  <c r="W121"/>
  <c r="BA121"/>
  <c r="BG121"/>
  <c r="AO121"/>
  <c r="AC121"/>
  <c r="BH120"/>
  <c r="AP120"/>
  <c r="AV120"/>
  <c r="AD120"/>
  <c r="BB120"/>
  <c r="AJ120"/>
  <c r="BN120"/>
  <c r="X120"/>
  <c r="BO55"/>
  <c r="AW55"/>
  <c r="AQ55"/>
  <c r="AE55"/>
  <c r="Y55"/>
  <c r="AK55"/>
  <c r="BC55"/>
  <c r="AL101"/>
  <c r="BJ101"/>
  <c r="AF101"/>
  <c r="BD101"/>
  <c r="Z101"/>
  <c r="AX101"/>
  <c r="AR101"/>
  <c r="BP101"/>
  <c r="W38"/>
  <c r="BG38"/>
  <c r="AI38"/>
  <c r="AU38"/>
  <c r="BM38"/>
  <c r="AO38"/>
  <c r="AC38"/>
  <c r="BA76"/>
  <c r="W76"/>
  <c r="V76" s="1"/>
  <c r="BM76"/>
  <c r="AC76"/>
  <c r="AI76"/>
  <c r="AO76"/>
  <c r="BG76"/>
  <c r="AQ111"/>
  <c r="BO111"/>
  <c r="AW111"/>
  <c r="AE111"/>
  <c r="BC111"/>
  <c r="Y111"/>
  <c r="BI111"/>
  <c r="AK111"/>
  <c r="Z47"/>
  <c r="BP47"/>
  <c r="BD47"/>
  <c r="AX47"/>
  <c r="BJ47"/>
  <c r="AR47"/>
  <c r="AF47"/>
  <c r="AE47" s="1"/>
  <c r="BP23"/>
  <c r="AL23"/>
  <c r="AF23"/>
  <c r="BJ23"/>
  <c r="AX23"/>
  <c r="Z23"/>
  <c r="BD23"/>
  <c r="AR23"/>
  <c r="AW28"/>
  <c r="AV28" s="1"/>
  <c r="AK28"/>
  <c r="AE28"/>
  <c r="AD28" s="1"/>
  <c r="BC28"/>
  <c r="BI28"/>
  <c r="Y28"/>
  <c r="AK100"/>
  <c r="BC100"/>
  <c r="AE100"/>
  <c r="Y100"/>
  <c r="BI100"/>
  <c r="BO100"/>
  <c r="AQ100"/>
  <c r="AP100" s="1"/>
  <c r="V164"/>
  <c r="BF27"/>
  <c r="AB27"/>
  <c r="AA27" s="1"/>
  <c r="AT27"/>
  <c r="V27"/>
  <c r="AZ27"/>
  <c r="BL27"/>
  <c r="AN27"/>
  <c r="AC109"/>
  <c r="BM109"/>
  <c r="BA109"/>
  <c r="AO109"/>
  <c r="AN109" s="1"/>
  <c r="AM109" s="1"/>
  <c r="W109"/>
  <c r="BG109"/>
  <c r="AI109"/>
  <c r="AM86"/>
  <c r="BK86"/>
  <c r="AY86"/>
  <c r="BE86"/>
  <c r="AS86"/>
  <c r="AG86"/>
  <c r="BQ86"/>
  <c r="AA86"/>
  <c r="BN69"/>
  <c r="BH69"/>
  <c r="X69"/>
  <c r="AV69"/>
  <c r="AD69"/>
  <c r="BB69"/>
  <c r="AJ69"/>
  <c r="AP69"/>
  <c r="AP85"/>
  <c r="AO85" s="1"/>
  <c r="AV85"/>
  <c r="BN85"/>
  <c r="AD85"/>
  <c r="AJ85"/>
  <c r="BB85"/>
  <c r="X85"/>
  <c r="AY121"/>
  <c r="AG121"/>
  <c r="AS121"/>
  <c r="BE121"/>
  <c r="BQ121"/>
  <c r="AA121"/>
  <c r="AM121"/>
  <c r="BK121"/>
  <c r="BO81"/>
  <c r="Y81"/>
  <c r="AW81"/>
  <c r="BI81"/>
  <c r="AE81"/>
  <c r="AK81"/>
  <c r="AQ81"/>
  <c r="BC81"/>
  <c r="BA105"/>
  <c r="BM105"/>
  <c r="BL105" s="1"/>
  <c r="BG105"/>
  <c r="AI105"/>
  <c r="W105"/>
  <c r="AU105"/>
  <c r="AC105"/>
  <c r="AO105"/>
  <c r="BJ96"/>
  <c r="BD96"/>
  <c r="AR96"/>
  <c r="Z96"/>
  <c r="AF96"/>
  <c r="AX96"/>
  <c r="AW96" s="1"/>
  <c r="BP96"/>
  <c r="AN106"/>
  <c r="BL106"/>
  <c r="BF106"/>
  <c r="AB106"/>
  <c r="AZ106"/>
  <c r="V106"/>
  <c r="AT106"/>
  <c r="AH106"/>
  <c r="X99"/>
  <c r="AP99"/>
  <c r="AD99"/>
  <c r="AV99"/>
  <c r="AJ99"/>
  <c r="BB99"/>
  <c r="BN99"/>
  <c r="BB39"/>
  <c r="AJ39"/>
  <c r="X39"/>
  <c r="BN39"/>
  <c r="AV39"/>
  <c r="AD39"/>
  <c r="AP39"/>
  <c r="BH39"/>
  <c r="AT120"/>
  <c r="AB120"/>
  <c r="AZ120"/>
  <c r="AH120"/>
  <c r="AN120"/>
  <c r="BL120"/>
  <c r="BF120"/>
  <c r="V120"/>
  <c r="AP90"/>
  <c r="BN90"/>
  <c r="AD90"/>
  <c r="AJ90"/>
  <c r="BH90"/>
  <c r="X90"/>
  <c r="AV90"/>
  <c r="BB90"/>
  <c r="BI125"/>
  <c r="AQ125"/>
  <c r="BC125"/>
  <c r="AK125"/>
  <c r="Y125"/>
  <c r="AW125"/>
  <c r="AE125"/>
  <c r="BO125"/>
  <c r="AY91"/>
  <c r="AG91"/>
  <c r="BK91"/>
  <c r="AM91"/>
  <c r="BE91"/>
  <c r="AS91"/>
  <c r="BQ91"/>
  <c r="BA63"/>
  <c r="AI63"/>
  <c r="W63"/>
  <c r="AU63"/>
  <c r="AC63"/>
  <c r="BG63"/>
  <c r="BM63"/>
  <c r="AO63"/>
  <c r="AK104"/>
  <c r="BI104"/>
  <c r="AE104"/>
  <c r="BC104"/>
  <c r="Y104"/>
  <c r="AW104"/>
  <c r="AQ104"/>
  <c r="BO104"/>
  <c r="Y5"/>
  <c r="Y10"/>
  <c r="Y18"/>
  <c r="Y19"/>
  <c r="Y20"/>
  <c r="Y21"/>
  <c r="Y22"/>
  <c r="Y24"/>
  <c r="Y26"/>
  <c r="Y35"/>
  <c r="Y36"/>
  <c r="Y37"/>
  <c r="Y42"/>
  <c r="Y43"/>
  <c r="Y44"/>
  <c r="Y45"/>
  <c r="Y46"/>
  <c r="Y48"/>
  <c r="Y50"/>
  <c r="Y51"/>
  <c r="Y52"/>
  <c r="Y53"/>
  <c r="Y54"/>
  <c r="Y58"/>
  <c r="Y59"/>
  <c r="Y60"/>
  <c r="Y61"/>
  <c r="Y62"/>
  <c r="Y64"/>
  <c r="Y68"/>
  <c r="Y73"/>
  <c r="Y78"/>
  <c r="Y83"/>
  <c r="Y88"/>
  <c r="Y93"/>
  <c r="Y98"/>
  <c r="Y103"/>
  <c r="Y108"/>
  <c r="Y118"/>
  <c r="Y123"/>
  <c r="G102" i="59"/>
  <c r="G91"/>
  <c r="G25" i="64" l="1"/>
  <c r="C159" i="76"/>
  <c r="BE161"/>
  <c r="AY161"/>
  <c r="AA161"/>
  <c r="BP161"/>
  <c r="Y161"/>
  <c r="BH161"/>
  <c r="W161"/>
  <c r="AS161"/>
  <c r="Z161"/>
  <c r="BO161"/>
  <c r="X161"/>
  <c r="BG161"/>
  <c r="BQ161"/>
  <c r="BN161"/>
  <c r="BK161"/>
  <c r="AM161"/>
  <c r="BI161"/>
  <c r="AG161"/>
  <c r="BJ161"/>
  <c r="BM161"/>
  <c r="R102" i="59"/>
  <c r="P102"/>
  <c r="N102"/>
  <c r="L102"/>
  <c r="J102"/>
  <c r="H102"/>
  <c r="R91"/>
  <c r="P91"/>
  <c r="N91"/>
  <c r="L91"/>
  <c r="J91"/>
  <c r="H91"/>
  <c r="S11" i="76"/>
  <c r="Q11"/>
  <c r="Y11" s="1"/>
  <c r="O11"/>
  <c r="W11" s="1"/>
  <c r="N11"/>
  <c r="V11" s="1"/>
  <c r="R11"/>
  <c r="Z11" s="1"/>
  <c r="BF170"/>
  <c r="V170"/>
  <c r="AB170"/>
  <c r="AT170"/>
  <c r="AZ170"/>
  <c r="AH170"/>
  <c r="BL170"/>
  <c r="AN170"/>
  <c r="G101" i="59"/>
  <c r="H101" s="1"/>
  <c r="G90"/>
  <c r="H90" s="1"/>
  <c r="V169" i="76"/>
  <c r="V161"/>
  <c r="BQ28"/>
  <c r="AG28"/>
  <c r="AS28"/>
  <c r="AM28"/>
  <c r="BE28"/>
  <c r="BK28"/>
  <c r="AY28"/>
  <c r="AX28" s="1"/>
  <c r="AA28"/>
  <c r="Z28" s="1"/>
  <c r="AF10"/>
  <c r="AF18"/>
  <c r="AF19"/>
  <c r="AF20"/>
  <c r="AF21"/>
  <c r="AF22"/>
  <c r="AF24"/>
  <c r="AF26"/>
  <c r="AF35"/>
  <c r="AF36"/>
  <c r="AF37"/>
  <c r="AF42"/>
  <c r="AF43"/>
  <c r="AF44"/>
  <c r="AF45"/>
  <c r="AF46"/>
  <c r="AF48"/>
  <c r="AF50"/>
  <c r="AF51"/>
  <c r="AF52"/>
  <c r="AF53"/>
  <c r="AF54"/>
  <c r="AF58"/>
  <c r="AF59"/>
  <c r="AF60"/>
  <c r="AF61"/>
  <c r="AF62"/>
  <c r="AF64"/>
  <c r="AF68"/>
  <c r="AF73"/>
  <c r="AF78"/>
  <c r="AF83"/>
  <c r="AF88"/>
  <c r="AF93"/>
  <c r="AF98"/>
  <c r="AF103"/>
  <c r="AF108"/>
  <c r="AF118"/>
  <c r="AF123"/>
  <c r="AB169"/>
  <c r="M82" i="59"/>
  <c r="K82"/>
  <c r="K86"/>
  <c r="M80"/>
  <c r="I80"/>
  <c r="M86"/>
  <c r="G86"/>
  <c r="K80"/>
  <c r="K87"/>
  <c r="O87"/>
  <c r="I82"/>
  <c r="M87"/>
  <c r="Q82"/>
  <c r="I86"/>
  <c r="Q87"/>
  <c r="O81"/>
  <c r="O86"/>
  <c r="I87"/>
  <c r="O80"/>
  <c r="G82"/>
  <c r="Q86"/>
  <c r="G87"/>
  <c r="O82"/>
  <c r="G80"/>
  <c r="Z159" i="76" l="1"/>
  <c r="V159"/>
  <c r="BO159"/>
  <c r="AY159"/>
  <c r="W159"/>
  <c r="BP159"/>
  <c r="X159"/>
  <c r="BE159"/>
  <c r="AC159"/>
  <c r="AG159"/>
  <c r="AM159"/>
  <c r="AE159"/>
  <c r="AF159"/>
  <c r="V167"/>
  <c r="BN159"/>
  <c r="AD159"/>
  <c r="BQ159"/>
  <c r="AB167"/>
  <c r="AA159"/>
  <c r="BK159"/>
  <c r="AS159"/>
  <c r="Y159"/>
  <c r="BM159"/>
  <c r="AF161"/>
  <c r="R101" i="59"/>
  <c r="P101"/>
  <c r="N101"/>
  <c r="L101"/>
  <c r="J101"/>
  <c r="P90"/>
  <c r="N90"/>
  <c r="R90"/>
  <c r="L90"/>
  <c r="J90"/>
  <c r="R86"/>
  <c r="R87"/>
  <c r="R82"/>
  <c r="P82"/>
  <c r="P86"/>
  <c r="P87"/>
  <c r="N87"/>
  <c r="N82"/>
  <c r="N86"/>
  <c r="L86"/>
  <c r="L82"/>
  <c r="L87"/>
  <c r="J82"/>
  <c r="J87"/>
  <c r="J86"/>
  <c r="H87"/>
  <c r="H82"/>
  <c r="H86"/>
  <c r="AF11" i="76"/>
  <c r="C160"/>
  <c r="AB159"/>
  <c r="AB10"/>
  <c r="AB11"/>
  <c r="AB18"/>
  <c r="AB19"/>
  <c r="AB20"/>
  <c r="AB21"/>
  <c r="AB22"/>
  <c r="AB24"/>
  <c r="AB26"/>
  <c r="AB35"/>
  <c r="AB36"/>
  <c r="AB37"/>
  <c r="AB42"/>
  <c r="AB43"/>
  <c r="AB44"/>
  <c r="AB45"/>
  <c r="AB46"/>
  <c r="AB48"/>
  <c r="AB50"/>
  <c r="AB51"/>
  <c r="AB52"/>
  <c r="AB53"/>
  <c r="AB54"/>
  <c r="AB58"/>
  <c r="AB59"/>
  <c r="AB60"/>
  <c r="AB61"/>
  <c r="AB62"/>
  <c r="AB64"/>
  <c r="AB68"/>
  <c r="AB73"/>
  <c r="AB78"/>
  <c r="AB83"/>
  <c r="AB88"/>
  <c r="AB93"/>
  <c r="AB98"/>
  <c r="AB103"/>
  <c r="AB108"/>
  <c r="AB118"/>
  <c r="AB123"/>
  <c r="G81" i="59"/>
  <c r="AY160" i="76" l="1"/>
  <c r="Z160"/>
  <c r="BO160"/>
  <c r="X160"/>
  <c r="BQ160"/>
  <c r="AS160"/>
  <c r="BK160"/>
  <c r="AM160"/>
  <c r="AF160"/>
  <c r="W160"/>
  <c r="BM160"/>
  <c r="BE160"/>
  <c r="AG160"/>
  <c r="BN160"/>
  <c r="AA160"/>
  <c r="BP160"/>
  <c r="Y160"/>
  <c r="BL168"/>
  <c r="V168"/>
  <c r="AB168"/>
  <c r="AH168"/>
  <c r="AN168"/>
  <c r="BF168"/>
  <c r="AT168"/>
  <c r="AZ168"/>
  <c r="V160"/>
  <c r="AB161"/>
  <c r="AB160"/>
  <c r="AC10"/>
  <c r="AC11"/>
  <c r="AC18"/>
  <c r="AC19"/>
  <c r="AC20"/>
  <c r="AC21"/>
  <c r="AC22"/>
  <c r="AC24"/>
  <c r="AC26"/>
  <c r="AC35"/>
  <c r="AC36"/>
  <c r="AC37"/>
  <c r="AC42"/>
  <c r="AC43"/>
  <c r="AC44"/>
  <c r="AC45"/>
  <c r="AC46"/>
  <c r="AC48"/>
  <c r="AC50"/>
  <c r="AC51"/>
  <c r="AC52"/>
  <c r="AC53"/>
  <c r="AC54"/>
  <c r="AC58"/>
  <c r="AC59"/>
  <c r="AC60"/>
  <c r="AC61"/>
  <c r="AC62"/>
  <c r="AC64"/>
  <c r="AC68"/>
  <c r="AC73"/>
  <c r="AC78"/>
  <c r="AC83"/>
  <c r="AC88"/>
  <c r="AC93"/>
  <c r="AC98"/>
  <c r="AC103"/>
  <c r="AC108"/>
  <c r="AC118"/>
  <c r="AC123"/>
  <c r="I81" i="59"/>
  <c r="AC160" i="76" l="1"/>
  <c r="AC161"/>
  <c r="AF175"/>
  <c r="V175"/>
  <c r="X175"/>
  <c r="W175"/>
  <c r="Z175"/>
  <c r="Y175"/>
  <c r="AB175"/>
  <c r="AD10"/>
  <c r="AD11"/>
  <c r="AD18"/>
  <c r="AD19"/>
  <c r="AD20"/>
  <c r="AD21"/>
  <c r="AD22"/>
  <c r="AD24"/>
  <c r="AD26"/>
  <c r="AD35"/>
  <c r="AD36"/>
  <c r="AD37"/>
  <c r="AD42"/>
  <c r="AD43"/>
  <c r="AD44"/>
  <c r="AD45"/>
  <c r="AD46"/>
  <c r="AD48"/>
  <c r="AD50"/>
  <c r="AD51"/>
  <c r="AD52"/>
  <c r="AD53"/>
  <c r="AD54"/>
  <c r="AD58"/>
  <c r="AD59"/>
  <c r="AD60"/>
  <c r="AD61"/>
  <c r="AD62"/>
  <c r="AD64"/>
  <c r="AD68"/>
  <c r="AD73"/>
  <c r="AD78"/>
  <c r="AD83"/>
  <c r="AD88"/>
  <c r="AD93"/>
  <c r="AD98"/>
  <c r="AD103"/>
  <c r="AD108"/>
  <c r="AD118"/>
  <c r="AD123"/>
  <c r="K36" i="59"/>
  <c r="K81"/>
  <c r="I36"/>
  <c r="O36"/>
  <c r="G36"/>
  <c r="O37"/>
  <c r="G37"/>
  <c r="M36"/>
  <c r="AD161" i="76" l="1"/>
  <c r="AD160"/>
  <c r="O25" i="59"/>
  <c r="M25"/>
  <c r="K25"/>
  <c r="I25"/>
  <c r="G25"/>
  <c r="H36"/>
  <c r="R36"/>
  <c r="P36"/>
  <c r="N36"/>
  <c r="L36"/>
  <c r="J36"/>
  <c r="AC175" i="76"/>
  <c r="AE10"/>
  <c r="AE11"/>
  <c r="AE18"/>
  <c r="AE19"/>
  <c r="AE20"/>
  <c r="AE21"/>
  <c r="AE22"/>
  <c r="AE24"/>
  <c r="AE26"/>
  <c r="AE35"/>
  <c r="AE36"/>
  <c r="AE37"/>
  <c r="AE42"/>
  <c r="AE43"/>
  <c r="AE44"/>
  <c r="AE45"/>
  <c r="AE46"/>
  <c r="AE48"/>
  <c r="AE50"/>
  <c r="AE51"/>
  <c r="AE52"/>
  <c r="AE53"/>
  <c r="AE54"/>
  <c r="AE58"/>
  <c r="AE59"/>
  <c r="AE60"/>
  <c r="AE61"/>
  <c r="AE62"/>
  <c r="AE64"/>
  <c r="AE68"/>
  <c r="AE73"/>
  <c r="AE78"/>
  <c r="AE83"/>
  <c r="AE88"/>
  <c r="AE93"/>
  <c r="AE98"/>
  <c r="AE103"/>
  <c r="AE108"/>
  <c r="AE118"/>
  <c r="AE123"/>
  <c r="I37" i="59"/>
  <c r="M81"/>
  <c r="AE160" i="76" l="1"/>
  <c r="AE161"/>
  <c r="AD175"/>
  <c r="AL5"/>
  <c r="AL6"/>
  <c r="AL10"/>
  <c r="AL11"/>
  <c r="AL18"/>
  <c r="AL19"/>
  <c r="AL20"/>
  <c r="AL21"/>
  <c r="AL22"/>
  <c r="AL24"/>
  <c r="AL26"/>
  <c r="AL35"/>
  <c r="AL36"/>
  <c r="AL37"/>
  <c r="AL42"/>
  <c r="AL43"/>
  <c r="AL44"/>
  <c r="AL45"/>
  <c r="AL46"/>
  <c r="AL48"/>
  <c r="AL50"/>
  <c r="AL51"/>
  <c r="AL52"/>
  <c r="AL53"/>
  <c r="AL54"/>
  <c r="AL58"/>
  <c r="AL59"/>
  <c r="AL60"/>
  <c r="AL61"/>
  <c r="AL62"/>
  <c r="AL64"/>
  <c r="AL68"/>
  <c r="AL73"/>
  <c r="AL78"/>
  <c r="AL83"/>
  <c r="AL88"/>
  <c r="AL93"/>
  <c r="AL98"/>
  <c r="AL103"/>
  <c r="AL108"/>
  <c r="AL118"/>
  <c r="AL123"/>
  <c r="AH167"/>
  <c r="AH169"/>
  <c r="K37" i="59"/>
  <c r="AL159" i="76" l="1"/>
  <c r="AL161"/>
  <c r="AL160"/>
  <c r="AE175"/>
  <c r="G26" i="59" s="1"/>
  <c r="AH5" i="76"/>
  <c r="AH6"/>
  <c r="AH10"/>
  <c r="AH11"/>
  <c r="AH18"/>
  <c r="AH19"/>
  <c r="AH20"/>
  <c r="AH21"/>
  <c r="AH22"/>
  <c r="AH24"/>
  <c r="AH26"/>
  <c r="AH35"/>
  <c r="AH36"/>
  <c r="AH37"/>
  <c r="AH42"/>
  <c r="AH43"/>
  <c r="AH44"/>
  <c r="AH45"/>
  <c r="AH46"/>
  <c r="AH48"/>
  <c r="AH50"/>
  <c r="AH51"/>
  <c r="AH52"/>
  <c r="AH53"/>
  <c r="AH54"/>
  <c r="AH58"/>
  <c r="AH59"/>
  <c r="AH60"/>
  <c r="AH61"/>
  <c r="AH62"/>
  <c r="AH64"/>
  <c r="AH68"/>
  <c r="AH73"/>
  <c r="AH78"/>
  <c r="AH83"/>
  <c r="AH88"/>
  <c r="AH93"/>
  <c r="AH98"/>
  <c r="AH103"/>
  <c r="AH108"/>
  <c r="AH118"/>
  <c r="AH123"/>
  <c r="M37" i="59"/>
  <c r="K26" l="1"/>
  <c r="I26"/>
  <c r="O26"/>
  <c r="M26"/>
  <c r="R37"/>
  <c r="P37"/>
  <c r="N37"/>
  <c r="L37"/>
  <c r="J37"/>
  <c r="H37"/>
  <c r="AH159" i="76"/>
  <c r="AL175"/>
  <c r="AH160"/>
  <c r="AH161"/>
  <c r="AI5"/>
  <c r="AI6"/>
  <c r="AI10"/>
  <c r="AI11"/>
  <c r="AI18"/>
  <c r="AI19"/>
  <c r="AI20"/>
  <c r="AI21"/>
  <c r="AI22"/>
  <c r="AI24"/>
  <c r="AI26"/>
  <c r="AI35"/>
  <c r="AI36"/>
  <c r="AI37"/>
  <c r="AI42"/>
  <c r="AI43"/>
  <c r="AI44"/>
  <c r="AI45"/>
  <c r="AI46"/>
  <c r="AI48"/>
  <c r="AI50"/>
  <c r="AI51"/>
  <c r="AI52"/>
  <c r="AI53"/>
  <c r="AI54"/>
  <c r="AI58"/>
  <c r="AI59"/>
  <c r="AI60"/>
  <c r="AI61"/>
  <c r="AI62"/>
  <c r="AI64"/>
  <c r="AI68"/>
  <c r="AI73"/>
  <c r="AI78"/>
  <c r="AI83"/>
  <c r="AI88"/>
  <c r="AI93"/>
  <c r="AI98"/>
  <c r="AI103"/>
  <c r="AI108"/>
  <c r="AI118"/>
  <c r="AI123"/>
  <c r="O38" i="59"/>
  <c r="AI159" i="76" l="1"/>
  <c r="AI161"/>
  <c r="AI160"/>
  <c r="AH175"/>
  <c r="AJ5"/>
  <c r="AJ6"/>
  <c r="AJ10"/>
  <c r="AJ11"/>
  <c r="AJ18"/>
  <c r="AJ19"/>
  <c r="AJ20"/>
  <c r="AJ21"/>
  <c r="AJ22"/>
  <c r="AJ24"/>
  <c r="AJ26"/>
  <c r="AJ35"/>
  <c r="AJ36"/>
  <c r="AJ37"/>
  <c r="AJ42"/>
  <c r="AJ43"/>
  <c r="AJ44"/>
  <c r="AJ45"/>
  <c r="AJ46"/>
  <c r="AJ48"/>
  <c r="AJ50"/>
  <c r="AJ51"/>
  <c r="AJ52"/>
  <c r="AJ53"/>
  <c r="AJ54"/>
  <c r="AJ58"/>
  <c r="AJ59"/>
  <c r="AJ60"/>
  <c r="AJ61"/>
  <c r="AJ62"/>
  <c r="AJ64"/>
  <c r="AJ68"/>
  <c r="AJ73"/>
  <c r="AJ78"/>
  <c r="AJ83"/>
  <c r="AJ88"/>
  <c r="AJ93"/>
  <c r="AJ98"/>
  <c r="AJ103"/>
  <c r="AJ108"/>
  <c r="AJ118"/>
  <c r="AJ123"/>
  <c r="G38" i="59"/>
  <c r="AJ159" i="76" l="1"/>
  <c r="AJ161"/>
  <c r="AJ160"/>
  <c r="AI175"/>
  <c r="AK5"/>
  <c r="AK6"/>
  <c r="AK10"/>
  <c r="AK11"/>
  <c r="AK18"/>
  <c r="AK19"/>
  <c r="AK20"/>
  <c r="AK21"/>
  <c r="AK22"/>
  <c r="AK24"/>
  <c r="AK26"/>
  <c r="AK35"/>
  <c r="AK36"/>
  <c r="AK37"/>
  <c r="AK42"/>
  <c r="AK43"/>
  <c r="AK44"/>
  <c r="AK45"/>
  <c r="AK46"/>
  <c r="AK48"/>
  <c r="AK50"/>
  <c r="AK51"/>
  <c r="AK52"/>
  <c r="AK53"/>
  <c r="AK54"/>
  <c r="AK58"/>
  <c r="AK59"/>
  <c r="AK60"/>
  <c r="AK61"/>
  <c r="AK62"/>
  <c r="AK64"/>
  <c r="AK68"/>
  <c r="AK73"/>
  <c r="AK78"/>
  <c r="AK83"/>
  <c r="AK88"/>
  <c r="AK93"/>
  <c r="AK98"/>
  <c r="AK103"/>
  <c r="AK108"/>
  <c r="AK118"/>
  <c r="AK123"/>
  <c r="I38" i="59"/>
  <c r="AK159" i="76" l="1"/>
  <c r="AK161"/>
  <c r="AK160"/>
  <c r="AJ175"/>
  <c r="AR5"/>
  <c r="AR6"/>
  <c r="AR10"/>
  <c r="AR11"/>
  <c r="AR18"/>
  <c r="AR19"/>
  <c r="AR20"/>
  <c r="AR21"/>
  <c r="AR22"/>
  <c r="AR24"/>
  <c r="AR26"/>
  <c r="AR35"/>
  <c r="AR36"/>
  <c r="AR37"/>
  <c r="AR42"/>
  <c r="AR43"/>
  <c r="AR44"/>
  <c r="AR45"/>
  <c r="AR46"/>
  <c r="AR48"/>
  <c r="AR50"/>
  <c r="AR51"/>
  <c r="AR52"/>
  <c r="AR53"/>
  <c r="AR54"/>
  <c r="AR58"/>
  <c r="AR59"/>
  <c r="AR60"/>
  <c r="AR61"/>
  <c r="AR62"/>
  <c r="AR64"/>
  <c r="AR68"/>
  <c r="AR73"/>
  <c r="AR78"/>
  <c r="AR83"/>
  <c r="AR88"/>
  <c r="AR93"/>
  <c r="AR98"/>
  <c r="AR103"/>
  <c r="AR108"/>
  <c r="AR118"/>
  <c r="AR123"/>
  <c r="AN167"/>
  <c r="AN169"/>
  <c r="O83" i="59"/>
  <c r="K38"/>
  <c r="AR159" i="76" l="1"/>
  <c r="AR161"/>
  <c r="AR160"/>
  <c r="AK175"/>
  <c r="K27" i="59" s="1"/>
  <c r="AN5" i="76"/>
  <c r="AN6"/>
  <c r="AN10"/>
  <c r="AN11"/>
  <c r="AN18"/>
  <c r="AN19"/>
  <c r="AN20"/>
  <c r="AN21"/>
  <c r="AN22"/>
  <c r="AN24"/>
  <c r="AN26"/>
  <c r="AN35"/>
  <c r="AN36"/>
  <c r="AN37"/>
  <c r="AN42"/>
  <c r="AN43"/>
  <c r="AN44"/>
  <c r="AN45"/>
  <c r="AN46"/>
  <c r="AN48"/>
  <c r="AN50"/>
  <c r="AN51"/>
  <c r="AN52"/>
  <c r="AN53"/>
  <c r="AN54"/>
  <c r="AN58"/>
  <c r="AN59"/>
  <c r="AN60"/>
  <c r="AN61"/>
  <c r="AN62"/>
  <c r="AN64"/>
  <c r="AN68"/>
  <c r="AN73"/>
  <c r="AN78"/>
  <c r="AN83"/>
  <c r="AN88"/>
  <c r="AN93"/>
  <c r="AN98"/>
  <c r="AN103"/>
  <c r="AN108"/>
  <c r="AN118"/>
  <c r="AN123"/>
  <c r="M38" i="59"/>
  <c r="G83"/>
  <c r="I27" l="1"/>
  <c r="G27"/>
  <c r="O27"/>
  <c r="M27"/>
  <c r="R38"/>
  <c r="P38"/>
  <c r="N38"/>
  <c r="L38"/>
  <c r="J38"/>
  <c r="H38"/>
  <c r="AN159" i="76"/>
  <c r="AR175"/>
  <c r="AN160"/>
  <c r="AN161"/>
  <c r="AO5"/>
  <c r="AO6"/>
  <c r="AO10"/>
  <c r="AO11"/>
  <c r="AO18"/>
  <c r="AO19"/>
  <c r="AO20"/>
  <c r="AO21"/>
  <c r="AO22"/>
  <c r="AO24"/>
  <c r="AO26"/>
  <c r="AO35"/>
  <c r="AO36"/>
  <c r="AO37"/>
  <c r="AO42"/>
  <c r="AO43"/>
  <c r="AO44"/>
  <c r="AO45"/>
  <c r="AO46"/>
  <c r="AO48"/>
  <c r="AO50"/>
  <c r="AO51"/>
  <c r="AO52"/>
  <c r="AO53"/>
  <c r="AO54"/>
  <c r="AO58"/>
  <c r="AO59"/>
  <c r="AO60"/>
  <c r="AO61"/>
  <c r="AO62"/>
  <c r="AO64"/>
  <c r="AO68"/>
  <c r="AO73"/>
  <c r="AO78"/>
  <c r="AO83"/>
  <c r="AO88"/>
  <c r="AO93"/>
  <c r="AO98"/>
  <c r="AO103"/>
  <c r="AO108"/>
  <c r="AO118"/>
  <c r="AO123"/>
  <c r="O39" i="59"/>
  <c r="I83"/>
  <c r="AO159" i="76" l="1"/>
  <c r="AO161"/>
  <c r="AO160"/>
  <c r="AN175"/>
  <c r="AP5"/>
  <c r="AP6"/>
  <c r="AP10"/>
  <c r="AP11"/>
  <c r="AP18"/>
  <c r="AP19"/>
  <c r="AP20"/>
  <c r="AP21"/>
  <c r="AP22"/>
  <c r="AP24"/>
  <c r="AP26"/>
  <c r="AP35"/>
  <c r="AP36"/>
  <c r="AP37"/>
  <c r="AP42"/>
  <c r="AP43"/>
  <c r="AP44"/>
  <c r="AP45"/>
  <c r="AP46"/>
  <c r="AP48"/>
  <c r="AP50"/>
  <c r="AP51"/>
  <c r="AP52"/>
  <c r="AP53"/>
  <c r="AP54"/>
  <c r="AP58"/>
  <c r="AP59"/>
  <c r="AP60"/>
  <c r="AP61"/>
  <c r="AP62"/>
  <c r="AP64"/>
  <c r="AP68"/>
  <c r="AP73"/>
  <c r="AP78"/>
  <c r="AP83"/>
  <c r="AP88"/>
  <c r="AP93"/>
  <c r="AP98"/>
  <c r="AP103"/>
  <c r="AP108"/>
  <c r="AP118"/>
  <c r="AP123"/>
  <c r="K83" i="59"/>
  <c r="G39"/>
  <c r="AP159" i="76" l="1"/>
  <c r="AP161"/>
  <c r="AP160"/>
  <c r="AO175"/>
  <c r="AQ5"/>
  <c r="AQ6"/>
  <c r="AQ10"/>
  <c r="AQ11"/>
  <c r="AQ18"/>
  <c r="AQ19"/>
  <c r="AQ20"/>
  <c r="AQ21"/>
  <c r="AQ22"/>
  <c r="AQ24"/>
  <c r="AQ26"/>
  <c r="AQ35"/>
  <c r="AQ36"/>
  <c r="AQ37"/>
  <c r="AQ42"/>
  <c r="AQ43"/>
  <c r="AQ44"/>
  <c r="AQ45"/>
  <c r="AQ46"/>
  <c r="AQ48"/>
  <c r="AQ50"/>
  <c r="AQ51"/>
  <c r="AQ52"/>
  <c r="AQ53"/>
  <c r="AQ54"/>
  <c r="AQ58"/>
  <c r="AQ59"/>
  <c r="AQ60"/>
  <c r="AQ61"/>
  <c r="AQ62"/>
  <c r="AQ64"/>
  <c r="AQ68"/>
  <c r="AQ73"/>
  <c r="AQ78"/>
  <c r="AQ83"/>
  <c r="AQ88"/>
  <c r="AQ93"/>
  <c r="AQ98"/>
  <c r="AQ103"/>
  <c r="AQ108"/>
  <c r="AQ118"/>
  <c r="AQ123"/>
  <c r="M83" i="59"/>
  <c r="I39"/>
  <c r="AQ159" i="76" l="1"/>
  <c r="AQ161"/>
  <c r="AQ160"/>
  <c r="AP175"/>
  <c r="AX5"/>
  <c r="AX6"/>
  <c r="AX10"/>
  <c r="AX11"/>
  <c r="AX18"/>
  <c r="AX19"/>
  <c r="AX20"/>
  <c r="AX21"/>
  <c r="AX22"/>
  <c r="AX24"/>
  <c r="AX26"/>
  <c r="AX35"/>
  <c r="AX36"/>
  <c r="AX37"/>
  <c r="AX42"/>
  <c r="AX43"/>
  <c r="AX44"/>
  <c r="AX45"/>
  <c r="AX46"/>
  <c r="AX48"/>
  <c r="AX50"/>
  <c r="AX51"/>
  <c r="AX52"/>
  <c r="AX53"/>
  <c r="AX54"/>
  <c r="AX58"/>
  <c r="AX59"/>
  <c r="AX60"/>
  <c r="AX61"/>
  <c r="AX62"/>
  <c r="AX64"/>
  <c r="AX68"/>
  <c r="AX73"/>
  <c r="AX78"/>
  <c r="AX83"/>
  <c r="AX88"/>
  <c r="AX93"/>
  <c r="AX98"/>
  <c r="AX103"/>
  <c r="AX108"/>
  <c r="AX118"/>
  <c r="AX123"/>
  <c r="AT167"/>
  <c r="AT169"/>
  <c r="O84" i="59"/>
  <c r="K39"/>
  <c r="AX159" i="76" l="1"/>
  <c r="AX161"/>
  <c r="AX160"/>
  <c r="AQ175"/>
  <c r="K28" i="59" s="1"/>
  <c r="AT5" i="76"/>
  <c r="AT6"/>
  <c r="AT10"/>
  <c r="AT11"/>
  <c r="AT18"/>
  <c r="AT19"/>
  <c r="AT20"/>
  <c r="AT21"/>
  <c r="AT22"/>
  <c r="AT24"/>
  <c r="AT26"/>
  <c r="AT35"/>
  <c r="AT36"/>
  <c r="AT37"/>
  <c r="AT42"/>
  <c r="AT43"/>
  <c r="AT44"/>
  <c r="AT45"/>
  <c r="AT46"/>
  <c r="AT48"/>
  <c r="AT50"/>
  <c r="AT51"/>
  <c r="AT52"/>
  <c r="AT53"/>
  <c r="AT54"/>
  <c r="AT58"/>
  <c r="AT59"/>
  <c r="AT60"/>
  <c r="AT61"/>
  <c r="AT62"/>
  <c r="AT64"/>
  <c r="AT68"/>
  <c r="AT73"/>
  <c r="AT78"/>
  <c r="AT83"/>
  <c r="AT88"/>
  <c r="AT93"/>
  <c r="AT98"/>
  <c r="AT103"/>
  <c r="AT108"/>
  <c r="AT118"/>
  <c r="AT123"/>
  <c r="G84" i="59"/>
  <c r="M39"/>
  <c r="O28" l="1"/>
  <c r="G28"/>
  <c r="I28"/>
  <c r="M28"/>
  <c r="R39"/>
  <c r="P39"/>
  <c r="N39"/>
  <c r="L39"/>
  <c r="J39"/>
  <c r="H39"/>
  <c r="AX175" i="76"/>
  <c r="AT161"/>
  <c r="AT159"/>
  <c r="AT160"/>
  <c r="AU5"/>
  <c r="AU6"/>
  <c r="AU10"/>
  <c r="AU11"/>
  <c r="AU18"/>
  <c r="AU19"/>
  <c r="AU20"/>
  <c r="AU21"/>
  <c r="AU22"/>
  <c r="AU24"/>
  <c r="AU26"/>
  <c r="AU35"/>
  <c r="AU36"/>
  <c r="AU37"/>
  <c r="AU42"/>
  <c r="AU43"/>
  <c r="AU44"/>
  <c r="AU45"/>
  <c r="AU46"/>
  <c r="AU48"/>
  <c r="AU50"/>
  <c r="AU51"/>
  <c r="AU52"/>
  <c r="AU53"/>
  <c r="AU54"/>
  <c r="AU58"/>
  <c r="AU59"/>
  <c r="AU60"/>
  <c r="AU61"/>
  <c r="AU62"/>
  <c r="AU64"/>
  <c r="AU68"/>
  <c r="AU73"/>
  <c r="AU78"/>
  <c r="AU83"/>
  <c r="AU88"/>
  <c r="AU93"/>
  <c r="AU98"/>
  <c r="AU103"/>
  <c r="AU108"/>
  <c r="AU118"/>
  <c r="AU123"/>
  <c r="I84" i="59"/>
  <c r="O40"/>
  <c r="AU159" i="76" l="1"/>
  <c r="AU160"/>
  <c r="AU161"/>
  <c r="AT175"/>
  <c r="AV5"/>
  <c r="AV6"/>
  <c r="AV10"/>
  <c r="AV11"/>
  <c r="AV18"/>
  <c r="AV19"/>
  <c r="AV20"/>
  <c r="AV21"/>
  <c r="AV22"/>
  <c r="AV24"/>
  <c r="AV26"/>
  <c r="AV35"/>
  <c r="AV36"/>
  <c r="AV37"/>
  <c r="AV42"/>
  <c r="AV43"/>
  <c r="AV44"/>
  <c r="AV45"/>
  <c r="AV46"/>
  <c r="AV48"/>
  <c r="AV50"/>
  <c r="AV51"/>
  <c r="AV52"/>
  <c r="AV53"/>
  <c r="AV54"/>
  <c r="AV58"/>
  <c r="AV59"/>
  <c r="AV60"/>
  <c r="AV61"/>
  <c r="AV62"/>
  <c r="AV64"/>
  <c r="AV68"/>
  <c r="AV73"/>
  <c r="AV78"/>
  <c r="AV83"/>
  <c r="AV88"/>
  <c r="AV93"/>
  <c r="AV98"/>
  <c r="AV103"/>
  <c r="AV108"/>
  <c r="AV118"/>
  <c r="AV123"/>
  <c r="K84" i="59"/>
  <c r="G40"/>
  <c r="AV159" i="76" l="1"/>
  <c r="AV161"/>
  <c r="AV160"/>
  <c r="AU175"/>
  <c r="AW5"/>
  <c r="AW6"/>
  <c r="AW10"/>
  <c r="AW11"/>
  <c r="AW18"/>
  <c r="AW19"/>
  <c r="AW20"/>
  <c r="AW21"/>
  <c r="AW22"/>
  <c r="AW24"/>
  <c r="AW26"/>
  <c r="AW35"/>
  <c r="AW36"/>
  <c r="AW37"/>
  <c r="AW42"/>
  <c r="AW43"/>
  <c r="AW44"/>
  <c r="AW45"/>
  <c r="AW46"/>
  <c r="AW48"/>
  <c r="AW50"/>
  <c r="AW51"/>
  <c r="AW52"/>
  <c r="AW53"/>
  <c r="AW54"/>
  <c r="AW58"/>
  <c r="AW59"/>
  <c r="AW60"/>
  <c r="AW61"/>
  <c r="AW62"/>
  <c r="AW64"/>
  <c r="AW68"/>
  <c r="AW73"/>
  <c r="AW78"/>
  <c r="AW83"/>
  <c r="AW88"/>
  <c r="AW93"/>
  <c r="AW98"/>
  <c r="AW103"/>
  <c r="AW108"/>
  <c r="AW118"/>
  <c r="AW123"/>
  <c r="M84" i="59"/>
  <c r="I40"/>
  <c r="AW159" i="76" l="1"/>
  <c r="AW160"/>
  <c r="AW161"/>
  <c r="AV175"/>
  <c r="BD5"/>
  <c r="BD6"/>
  <c r="BD10"/>
  <c r="BD11"/>
  <c r="BD18"/>
  <c r="BD19"/>
  <c r="BD20"/>
  <c r="BD21"/>
  <c r="BD22"/>
  <c r="BD24"/>
  <c r="BD26"/>
  <c r="BD35"/>
  <c r="BD36"/>
  <c r="BD37"/>
  <c r="BD42"/>
  <c r="BD43"/>
  <c r="BD44"/>
  <c r="BD45"/>
  <c r="BD46"/>
  <c r="BD48"/>
  <c r="BD50"/>
  <c r="BD51"/>
  <c r="BD52"/>
  <c r="BD53"/>
  <c r="BD54"/>
  <c r="BD58"/>
  <c r="BD59"/>
  <c r="BD60"/>
  <c r="BD61"/>
  <c r="BD62"/>
  <c r="BD64"/>
  <c r="BD68"/>
  <c r="BD73"/>
  <c r="BD78"/>
  <c r="BD83"/>
  <c r="BD88"/>
  <c r="BD93"/>
  <c r="BD98"/>
  <c r="BD103"/>
  <c r="BD108"/>
  <c r="BD118"/>
  <c r="BD123"/>
  <c r="AZ167"/>
  <c r="AZ169"/>
  <c r="O85" i="59"/>
  <c r="K40"/>
  <c r="BD159" i="76" l="1"/>
  <c r="BD161"/>
  <c r="BD160"/>
  <c r="O79" i="59"/>
  <c r="AW175" i="76"/>
  <c r="G29" i="59" s="1"/>
  <c r="AZ5" i="76"/>
  <c r="AZ6"/>
  <c r="AZ10"/>
  <c r="AZ11"/>
  <c r="AZ18"/>
  <c r="AZ19"/>
  <c r="AZ20"/>
  <c r="AZ21"/>
  <c r="AZ22"/>
  <c r="AZ24"/>
  <c r="AZ26"/>
  <c r="AZ35"/>
  <c r="AZ36"/>
  <c r="AZ37"/>
  <c r="AZ42"/>
  <c r="AZ43"/>
  <c r="AZ44"/>
  <c r="AZ45"/>
  <c r="AZ46"/>
  <c r="AZ48"/>
  <c r="AZ50"/>
  <c r="AZ51"/>
  <c r="AZ52"/>
  <c r="AZ53"/>
  <c r="AZ54"/>
  <c r="AZ58"/>
  <c r="AZ59"/>
  <c r="AZ60"/>
  <c r="AZ61"/>
  <c r="AZ62"/>
  <c r="AZ64"/>
  <c r="AZ68"/>
  <c r="AZ73"/>
  <c r="AZ78"/>
  <c r="AZ83"/>
  <c r="AZ88"/>
  <c r="AZ93"/>
  <c r="AZ98"/>
  <c r="AZ103"/>
  <c r="AZ108"/>
  <c r="AZ118"/>
  <c r="AZ123"/>
  <c r="M40" i="59"/>
  <c r="G85"/>
  <c r="O29" l="1"/>
  <c r="K29"/>
  <c r="I29"/>
  <c r="M29"/>
  <c r="R40"/>
  <c r="P40"/>
  <c r="N40"/>
  <c r="L40"/>
  <c r="J40"/>
  <c r="H40"/>
  <c r="G79"/>
  <c r="BD175" i="76"/>
  <c r="AZ159"/>
  <c r="AZ160"/>
  <c r="AZ161"/>
  <c r="BA5"/>
  <c r="BA6"/>
  <c r="BA10"/>
  <c r="BA11"/>
  <c r="BA18"/>
  <c r="BA19"/>
  <c r="BA20"/>
  <c r="BA21"/>
  <c r="BA22"/>
  <c r="BA24"/>
  <c r="BA26"/>
  <c r="BA35"/>
  <c r="BA36"/>
  <c r="BA37"/>
  <c r="BA42"/>
  <c r="BA43"/>
  <c r="BA44"/>
  <c r="BA45"/>
  <c r="BA46"/>
  <c r="BA48"/>
  <c r="BA50"/>
  <c r="BA51"/>
  <c r="BA52"/>
  <c r="BA53"/>
  <c r="BA54"/>
  <c r="BA58"/>
  <c r="BA59"/>
  <c r="BA60"/>
  <c r="BA61"/>
  <c r="BA62"/>
  <c r="BA64"/>
  <c r="BA68"/>
  <c r="BA73"/>
  <c r="BA78"/>
  <c r="BA83"/>
  <c r="BA88"/>
  <c r="BA93"/>
  <c r="BA98"/>
  <c r="BA103"/>
  <c r="BA108"/>
  <c r="BA118"/>
  <c r="BA123"/>
  <c r="I85" i="59"/>
  <c r="O41"/>
  <c r="BA159" i="76" l="1"/>
  <c r="BA160"/>
  <c r="BA161"/>
  <c r="I79" i="59"/>
  <c r="AZ175" i="76"/>
  <c r="BB5"/>
  <c r="BB6"/>
  <c r="BB10"/>
  <c r="BB11"/>
  <c r="BB18"/>
  <c r="BB19"/>
  <c r="BB20"/>
  <c r="BB21"/>
  <c r="BB22"/>
  <c r="BB24"/>
  <c r="BB26"/>
  <c r="BB35"/>
  <c r="BB36"/>
  <c r="BB37"/>
  <c r="BB42"/>
  <c r="BB43"/>
  <c r="BB44"/>
  <c r="BB45"/>
  <c r="BB46"/>
  <c r="BB48"/>
  <c r="BB50"/>
  <c r="BB51"/>
  <c r="BB52"/>
  <c r="BB53"/>
  <c r="BB54"/>
  <c r="BB58"/>
  <c r="BB59"/>
  <c r="BB60"/>
  <c r="BB61"/>
  <c r="BB62"/>
  <c r="BB64"/>
  <c r="BB68"/>
  <c r="BB73"/>
  <c r="BB78"/>
  <c r="BB83"/>
  <c r="BB88"/>
  <c r="BB93"/>
  <c r="BB98"/>
  <c r="BB103"/>
  <c r="BB108"/>
  <c r="BB118"/>
  <c r="BB123"/>
  <c r="K85" i="59"/>
  <c r="G41"/>
  <c r="BB159" i="76" l="1"/>
  <c r="BB160"/>
  <c r="BB161"/>
  <c r="K79" i="59"/>
  <c r="BA175" i="76"/>
  <c r="BC5"/>
  <c r="BC6"/>
  <c r="BC10"/>
  <c r="BC11"/>
  <c r="BC18"/>
  <c r="BC19"/>
  <c r="BC20"/>
  <c r="BC21"/>
  <c r="BC22"/>
  <c r="BC24"/>
  <c r="BC26"/>
  <c r="BC35"/>
  <c r="BC36"/>
  <c r="BC37"/>
  <c r="BC42"/>
  <c r="BC43"/>
  <c r="BC44"/>
  <c r="BC45"/>
  <c r="BC46"/>
  <c r="BC48"/>
  <c r="BC50"/>
  <c r="BC51"/>
  <c r="BC52"/>
  <c r="BC53"/>
  <c r="BC54"/>
  <c r="BC58"/>
  <c r="BC59"/>
  <c r="BC60"/>
  <c r="BC61"/>
  <c r="BC62"/>
  <c r="BC64"/>
  <c r="BC68"/>
  <c r="BC73"/>
  <c r="BC78"/>
  <c r="BC83"/>
  <c r="BC88"/>
  <c r="BC93"/>
  <c r="BC98"/>
  <c r="BC103"/>
  <c r="BC108"/>
  <c r="BC118"/>
  <c r="BC123"/>
  <c r="M85" i="59"/>
  <c r="I41"/>
  <c r="BC159" i="76" l="1"/>
  <c r="BC161"/>
  <c r="BC160"/>
  <c r="M79" i="59"/>
  <c r="BB175" i="76"/>
  <c r="BJ5"/>
  <c r="BJ6"/>
  <c r="BJ10"/>
  <c r="BJ11"/>
  <c r="BJ18"/>
  <c r="BJ19"/>
  <c r="BJ20"/>
  <c r="BJ21"/>
  <c r="BJ22"/>
  <c r="BJ24"/>
  <c r="BJ26"/>
  <c r="BJ35"/>
  <c r="BJ36"/>
  <c r="BJ37"/>
  <c r="BJ42"/>
  <c r="BJ43"/>
  <c r="BJ44"/>
  <c r="BJ45"/>
  <c r="BJ46"/>
  <c r="BJ48"/>
  <c r="BJ50"/>
  <c r="BJ51"/>
  <c r="BJ52"/>
  <c r="BJ53"/>
  <c r="BJ54"/>
  <c r="BJ58"/>
  <c r="BJ59"/>
  <c r="BJ60"/>
  <c r="BJ61"/>
  <c r="BJ62"/>
  <c r="BJ64"/>
  <c r="BF167"/>
  <c r="BF169"/>
  <c r="K41" i="59"/>
  <c r="BJ160" i="76" l="1"/>
  <c r="BJ159"/>
  <c r="BC175"/>
  <c r="O30" i="59" s="1"/>
  <c r="BF5" i="76"/>
  <c r="BF6"/>
  <c r="BF10"/>
  <c r="BF11"/>
  <c r="BF18"/>
  <c r="BF19"/>
  <c r="BF20"/>
  <c r="BF21"/>
  <c r="BF22"/>
  <c r="BF24"/>
  <c r="BF26"/>
  <c r="BF35"/>
  <c r="BF36"/>
  <c r="BF37"/>
  <c r="BF42"/>
  <c r="BF43"/>
  <c r="BF44"/>
  <c r="BF45"/>
  <c r="BF46"/>
  <c r="BF48"/>
  <c r="BF50"/>
  <c r="BF51"/>
  <c r="BF52"/>
  <c r="BF53"/>
  <c r="BF54"/>
  <c r="BF58"/>
  <c r="BF59"/>
  <c r="BF60"/>
  <c r="BF61"/>
  <c r="BF62"/>
  <c r="BF64"/>
  <c r="BF161"/>
  <c r="M41" i="59"/>
  <c r="I30" l="1"/>
  <c r="K30"/>
  <c r="G30"/>
  <c r="M30"/>
  <c r="R41"/>
  <c r="P41"/>
  <c r="N41"/>
  <c r="L41"/>
  <c r="J41"/>
  <c r="H41"/>
  <c r="BJ175" i="76"/>
  <c r="BF160"/>
  <c r="BF159"/>
  <c r="BG5"/>
  <c r="BG6"/>
  <c r="BG10"/>
  <c r="BG11"/>
  <c r="BG18"/>
  <c r="BG19"/>
  <c r="BG20"/>
  <c r="BG21"/>
  <c r="BG22"/>
  <c r="BG24"/>
  <c r="BG26"/>
  <c r="BG35"/>
  <c r="BG36"/>
  <c r="BG37"/>
  <c r="BG42"/>
  <c r="BG43"/>
  <c r="BG44"/>
  <c r="BG45"/>
  <c r="BG46"/>
  <c r="BG48"/>
  <c r="BG50"/>
  <c r="BG51"/>
  <c r="BG52"/>
  <c r="BG53"/>
  <c r="BG54"/>
  <c r="BG58"/>
  <c r="BG59"/>
  <c r="BG60"/>
  <c r="BG61"/>
  <c r="BG62"/>
  <c r="BG64"/>
  <c r="O42" i="59"/>
  <c r="BG159" i="76" l="1"/>
  <c r="BG160"/>
  <c r="BF175"/>
  <c r="BH5"/>
  <c r="BH6"/>
  <c r="BH10"/>
  <c r="BH11"/>
  <c r="BH18"/>
  <c r="BH19"/>
  <c r="BH20"/>
  <c r="BH21"/>
  <c r="BH22"/>
  <c r="BH24"/>
  <c r="BH26"/>
  <c r="BH35"/>
  <c r="BH36"/>
  <c r="BH37"/>
  <c r="BH42"/>
  <c r="BH43"/>
  <c r="BH44"/>
  <c r="BH45"/>
  <c r="BH46"/>
  <c r="BH48"/>
  <c r="BH50"/>
  <c r="BH51"/>
  <c r="BH52"/>
  <c r="BH53"/>
  <c r="BH54"/>
  <c r="BH58"/>
  <c r="BH59"/>
  <c r="BH60"/>
  <c r="BH61"/>
  <c r="BH62"/>
  <c r="BH64"/>
  <c r="G42" i="59"/>
  <c r="BH159" i="76" l="1"/>
  <c r="BH160"/>
  <c r="BG175"/>
  <c r="BI5"/>
  <c r="BI6"/>
  <c r="BI10"/>
  <c r="BI11"/>
  <c r="BI18"/>
  <c r="BI19"/>
  <c r="BI20"/>
  <c r="BI21"/>
  <c r="BI22"/>
  <c r="BI24"/>
  <c r="BI26"/>
  <c r="BI35"/>
  <c r="BI36"/>
  <c r="BI37"/>
  <c r="BI42"/>
  <c r="BI43"/>
  <c r="BI44"/>
  <c r="BI45"/>
  <c r="BI46"/>
  <c r="BI48"/>
  <c r="BI50"/>
  <c r="BI51"/>
  <c r="BI52"/>
  <c r="BI53"/>
  <c r="BI54"/>
  <c r="BI58"/>
  <c r="BI59"/>
  <c r="BI60"/>
  <c r="BI61"/>
  <c r="BI62"/>
  <c r="BI64"/>
  <c r="I42" i="59"/>
  <c r="BI159" i="76" l="1"/>
  <c r="BI160"/>
  <c r="BH175"/>
  <c r="F37" i="59"/>
  <c r="F48" s="1"/>
  <c r="F51"/>
  <c r="F52"/>
  <c r="F38"/>
  <c r="F49" s="1"/>
  <c r="F39"/>
  <c r="F50" s="1"/>
  <c r="F36"/>
  <c r="F47" s="1"/>
  <c r="F58" s="1"/>
  <c r="F69" s="1"/>
  <c r="F80" s="1"/>
  <c r="F91" s="1"/>
  <c r="F102" s="1"/>
  <c r="K42"/>
  <c r="O74"/>
  <c r="K62"/>
  <c r="O70"/>
  <c r="I62"/>
  <c r="BI175" i="76" l="1"/>
  <c r="O31" i="59" s="1"/>
  <c r="AM68" i="76"/>
  <c r="AM73"/>
  <c r="AM78"/>
  <c r="AM83"/>
  <c r="AM88"/>
  <c r="AM93"/>
  <c r="AM98"/>
  <c r="AM103"/>
  <c r="AM108"/>
  <c r="AM118"/>
  <c r="AM123"/>
  <c r="M42" i="59"/>
  <c r="I31" l="1"/>
  <c r="G31"/>
  <c r="K31"/>
  <c r="M31"/>
  <c r="R42"/>
  <c r="P42"/>
  <c r="N42"/>
  <c r="L42"/>
  <c r="J42"/>
  <c r="H42"/>
  <c r="AS5" i="76"/>
  <c r="AS6"/>
  <c r="F60" i="59"/>
  <c r="F71" s="1"/>
  <c r="F82" s="1"/>
  <c r="F93" s="1"/>
  <c r="F104" s="1"/>
  <c r="F64"/>
  <c r="AG68" i="76"/>
  <c r="AG73"/>
  <c r="AG78"/>
  <c r="AG83"/>
  <c r="AG88"/>
  <c r="AG93"/>
  <c r="AG98"/>
  <c r="AG103"/>
  <c r="AG108"/>
  <c r="AG118"/>
  <c r="AG123"/>
  <c r="G60" i="59"/>
  <c r="O62"/>
  <c r="G64"/>
  <c r="K61"/>
  <c r="I54"/>
  <c r="I65"/>
  <c r="G71"/>
  <c r="K72"/>
  <c r="Q71"/>
  <c r="O73"/>
  <c r="Q81"/>
  <c r="O58"/>
  <c r="G75"/>
  <c r="O69"/>
  <c r="R81" l="1"/>
  <c r="P81"/>
  <c r="N81"/>
  <c r="L81"/>
  <c r="J81"/>
  <c r="H81"/>
  <c r="F75"/>
  <c r="F86" s="1"/>
  <c r="F97" s="1"/>
  <c r="F108" s="1"/>
  <c r="BE68" i="76"/>
  <c r="BE73"/>
  <c r="BE78"/>
  <c r="BE83"/>
  <c r="BE88"/>
  <c r="BE93"/>
  <c r="BE98"/>
  <c r="BE103"/>
  <c r="BE108"/>
  <c r="BE118"/>
  <c r="BE123"/>
  <c r="Q85" i="59"/>
  <c r="Q50"/>
  <c r="I76"/>
  <c r="R85" l="1"/>
  <c r="P85"/>
  <c r="N85"/>
  <c r="L85"/>
  <c r="J85"/>
  <c r="H85"/>
  <c r="I24"/>
  <c r="I35"/>
  <c r="AY5" i="76"/>
  <c r="AY6"/>
  <c r="BL159" l="1"/>
  <c r="BK5"/>
  <c r="BK6"/>
  <c r="AG10"/>
  <c r="AG11"/>
  <c r="AG18"/>
  <c r="AG19"/>
  <c r="AG20"/>
  <c r="AG21"/>
  <c r="AG22"/>
  <c r="AG24"/>
  <c r="AG26"/>
  <c r="AG35"/>
  <c r="AG36"/>
  <c r="AG37"/>
  <c r="AG42"/>
  <c r="AG43"/>
  <c r="AG44"/>
  <c r="AG45"/>
  <c r="AG46"/>
  <c r="AG48"/>
  <c r="AG50"/>
  <c r="AG51"/>
  <c r="AG52"/>
  <c r="AG53"/>
  <c r="AG54"/>
  <c r="AG58"/>
  <c r="AG59"/>
  <c r="AG60"/>
  <c r="AG61"/>
  <c r="AG62"/>
  <c r="AG64"/>
  <c r="M58" i="59"/>
  <c r="G54"/>
  <c r="Q51"/>
  <c r="M62"/>
  <c r="I61"/>
  <c r="BE10" i="76" l="1"/>
  <c r="BE11"/>
  <c r="BE18"/>
  <c r="BE19"/>
  <c r="BE20"/>
  <c r="BE21"/>
  <c r="BE22"/>
  <c r="BE24"/>
  <c r="BE26"/>
  <c r="BE35"/>
  <c r="BE36"/>
  <c r="BE37"/>
  <c r="BE42"/>
  <c r="BE43"/>
  <c r="BE44"/>
  <c r="BE45"/>
  <c r="BE46"/>
  <c r="BE48"/>
  <c r="BE50"/>
  <c r="BE51"/>
  <c r="BE52"/>
  <c r="BE53"/>
  <c r="BE54"/>
  <c r="BE58"/>
  <c r="BE59"/>
  <c r="BE60"/>
  <c r="BE61"/>
  <c r="BE62"/>
  <c r="BE64"/>
  <c r="Q59" i="59"/>
  <c r="BL160" i="76" l="1"/>
  <c r="BL161"/>
  <c r="BE5"/>
  <c r="BE6"/>
  <c r="F61" i="59"/>
  <c r="AM10" i="76"/>
  <c r="AM11"/>
  <c r="AM18"/>
  <c r="AM19"/>
  <c r="AM20"/>
  <c r="AM21"/>
  <c r="AM22"/>
  <c r="AM24"/>
  <c r="AM26"/>
  <c r="AM35"/>
  <c r="AM36"/>
  <c r="AM37"/>
  <c r="AM42"/>
  <c r="AM43"/>
  <c r="AM44"/>
  <c r="AM45"/>
  <c r="AM46"/>
  <c r="AM48"/>
  <c r="AM50"/>
  <c r="AM51"/>
  <c r="AM52"/>
  <c r="AM53"/>
  <c r="AM54"/>
  <c r="AM58"/>
  <c r="AM59"/>
  <c r="AM60"/>
  <c r="AM61"/>
  <c r="AM62"/>
  <c r="AM64"/>
  <c r="Q70" i="59"/>
  <c r="O64"/>
  <c r="M73"/>
  <c r="Q54"/>
  <c r="I72"/>
  <c r="Q74"/>
  <c r="G61"/>
  <c r="K74"/>
  <c r="Q52"/>
  <c r="K70"/>
  <c r="G76"/>
  <c r="Q63"/>
  <c r="I58"/>
  <c r="G65"/>
  <c r="Q53"/>
  <c r="K69"/>
  <c r="K73"/>
  <c r="O60"/>
  <c r="M69"/>
  <c r="K58"/>
  <c r="G24" l="1"/>
  <c r="G35"/>
  <c r="BK10" i="76"/>
  <c r="BK11"/>
  <c r="BK18"/>
  <c r="BK19"/>
  <c r="BK20"/>
  <c r="BK21"/>
  <c r="BK22"/>
  <c r="BK24"/>
  <c r="BK26"/>
  <c r="BK35"/>
  <c r="BK36"/>
  <c r="BK37"/>
  <c r="BK42"/>
  <c r="BK43"/>
  <c r="BK44"/>
  <c r="BK45"/>
  <c r="BK46"/>
  <c r="BK48"/>
  <c r="BK50"/>
  <c r="BK51"/>
  <c r="BK52"/>
  <c r="BK53"/>
  <c r="BK54"/>
  <c r="BK58"/>
  <c r="BK59"/>
  <c r="BK60"/>
  <c r="BK61"/>
  <c r="BK62"/>
  <c r="BK64"/>
  <c r="G62" i="59"/>
  <c r="Q60"/>
  <c r="G58"/>
  <c r="M74"/>
  <c r="M70"/>
  <c r="F62" l="1"/>
  <c r="AA5" i="76"/>
  <c r="AA6"/>
  <c r="AS10"/>
  <c r="AS11"/>
  <c r="AS18"/>
  <c r="AS19"/>
  <c r="AS20"/>
  <c r="AS21"/>
  <c r="AS22"/>
  <c r="AS24"/>
  <c r="AS26"/>
  <c r="AS35"/>
  <c r="AS36"/>
  <c r="AS37"/>
  <c r="AS42"/>
  <c r="AS43"/>
  <c r="AS44"/>
  <c r="AS45"/>
  <c r="AS46"/>
  <c r="AS48"/>
  <c r="AS50"/>
  <c r="AS51"/>
  <c r="AS52"/>
  <c r="AS53"/>
  <c r="AS54"/>
  <c r="AS58"/>
  <c r="AS59"/>
  <c r="AS60"/>
  <c r="AS61"/>
  <c r="AS62"/>
  <c r="AS64"/>
  <c r="I59" i="59"/>
  <c r="M64"/>
  <c r="O71"/>
  <c r="Q65"/>
  <c r="I70"/>
  <c r="O75"/>
  <c r="Q64"/>
  <c r="AS68" i="76" l="1"/>
  <c r="AS73"/>
  <c r="AS78"/>
  <c r="AS83"/>
  <c r="AS88"/>
  <c r="AS93"/>
  <c r="AS98"/>
  <c r="AS103"/>
  <c r="AS108"/>
  <c r="AS118"/>
  <c r="AS123"/>
  <c r="Q47" i="59"/>
  <c r="Q61"/>
  <c r="Q83"/>
  <c r="R83" l="1"/>
  <c r="P83"/>
  <c r="N83"/>
  <c r="L83"/>
  <c r="J83"/>
  <c r="H83"/>
  <c r="F59"/>
  <c r="F70" s="1"/>
  <c r="F81" s="1"/>
  <c r="F92" s="1"/>
  <c r="F103" s="1"/>
  <c r="F63"/>
  <c r="F74" s="1"/>
  <c r="F85" s="1"/>
  <c r="F96" s="1"/>
  <c r="F107" s="1"/>
  <c r="AA68" i="76"/>
  <c r="AA73"/>
  <c r="AA78"/>
  <c r="AA83"/>
  <c r="AA88"/>
  <c r="AA93"/>
  <c r="AA98"/>
  <c r="AA103"/>
  <c r="AA108"/>
  <c r="AA118"/>
  <c r="AA123"/>
  <c r="AY68"/>
  <c r="AY73"/>
  <c r="AY78"/>
  <c r="AY83"/>
  <c r="AY88"/>
  <c r="AY93"/>
  <c r="AY98"/>
  <c r="AY103"/>
  <c r="AY108"/>
  <c r="AY118"/>
  <c r="AY123"/>
  <c r="O76" i="59"/>
  <c r="K71"/>
  <c r="G63"/>
  <c r="G70"/>
  <c r="O61"/>
  <c r="G59"/>
  <c r="M54"/>
  <c r="K75"/>
  <c r="O72"/>
  <c r="M65"/>
  <c r="G74"/>
  <c r="K64"/>
  <c r="Q84"/>
  <c r="Q80"/>
  <c r="Q72"/>
  <c r="Q48"/>
  <c r="K60"/>
  <c r="R80" l="1"/>
  <c r="R84"/>
  <c r="P80"/>
  <c r="P84"/>
  <c r="N80"/>
  <c r="N84"/>
  <c r="L80"/>
  <c r="L84"/>
  <c r="J80"/>
  <c r="J84"/>
  <c r="H80"/>
  <c r="H84"/>
  <c r="R70"/>
  <c r="P70"/>
  <c r="N70"/>
  <c r="L70"/>
  <c r="J70"/>
  <c r="H70"/>
  <c r="Q79"/>
  <c r="O24"/>
  <c r="F72"/>
  <c r="F83" s="1"/>
  <c r="F94" s="1"/>
  <c r="F105" s="1"/>
  <c r="F73"/>
  <c r="F84" s="1"/>
  <c r="F95" s="1"/>
  <c r="F106" s="1"/>
  <c r="AM5" i="76"/>
  <c r="AM6"/>
  <c r="AA10"/>
  <c r="AA11"/>
  <c r="AA18"/>
  <c r="AA19"/>
  <c r="AA20"/>
  <c r="AA21"/>
  <c r="AA22"/>
  <c r="AA24"/>
  <c r="AA26"/>
  <c r="AA35"/>
  <c r="AA36"/>
  <c r="AA37"/>
  <c r="AA42"/>
  <c r="AA43"/>
  <c r="AA44"/>
  <c r="AA45"/>
  <c r="AA46"/>
  <c r="AA48"/>
  <c r="AA50"/>
  <c r="AA51"/>
  <c r="AA52"/>
  <c r="AA53"/>
  <c r="AA54"/>
  <c r="AA58"/>
  <c r="AA59"/>
  <c r="AA60"/>
  <c r="AA61"/>
  <c r="AA62"/>
  <c r="AA64"/>
  <c r="O54" i="59"/>
  <c r="K63"/>
  <c r="M71"/>
  <c r="M63"/>
  <c r="O63"/>
  <c r="I63"/>
  <c r="I69"/>
  <c r="M59"/>
  <c r="G72"/>
  <c r="I60"/>
  <c r="O59"/>
  <c r="I74"/>
  <c r="G69"/>
  <c r="K59"/>
  <c r="G73"/>
  <c r="M75"/>
  <c r="O65"/>
  <c r="I73"/>
  <c r="M60"/>
  <c r="Q76"/>
  <c r="M61"/>
  <c r="M76"/>
  <c r="Q75"/>
  <c r="K54"/>
  <c r="P79" l="1"/>
  <c r="R79"/>
  <c r="L79"/>
  <c r="N79"/>
  <c r="H79"/>
  <c r="J79"/>
  <c r="R74"/>
  <c r="P74"/>
  <c r="N74"/>
  <c r="L74"/>
  <c r="J74"/>
  <c r="H74"/>
  <c r="R61"/>
  <c r="R63"/>
  <c r="R59"/>
  <c r="R60"/>
  <c r="P59"/>
  <c r="P61"/>
  <c r="P63"/>
  <c r="P60"/>
  <c r="N63"/>
  <c r="N60"/>
  <c r="N61"/>
  <c r="N59"/>
  <c r="L61"/>
  <c r="L59"/>
  <c r="L63"/>
  <c r="L60"/>
  <c r="J61"/>
  <c r="J63"/>
  <c r="J59"/>
  <c r="J60"/>
  <c r="H61"/>
  <c r="H63"/>
  <c r="H59"/>
  <c r="H60"/>
  <c r="R54"/>
  <c r="P54"/>
  <c r="N54"/>
  <c r="L54"/>
  <c r="J54"/>
  <c r="H54"/>
  <c r="Q35"/>
  <c r="M24"/>
  <c r="M35"/>
  <c r="AY10" i="76"/>
  <c r="AY11"/>
  <c r="AY18"/>
  <c r="AY19"/>
  <c r="AY20"/>
  <c r="AY21"/>
  <c r="AY22"/>
  <c r="AY24"/>
  <c r="AY26"/>
  <c r="AY35"/>
  <c r="AY36"/>
  <c r="AY37"/>
  <c r="AY42"/>
  <c r="AY43"/>
  <c r="AY44"/>
  <c r="AY45"/>
  <c r="AY46"/>
  <c r="AY48"/>
  <c r="AY50"/>
  <c r="AY51"/>
  <c r="AY52"/>
  <c r="AY53"/>
  <c r="AY54"/>
  <c r="AY58"/>
  <c r="AY59"/>
  <c r="AY60"/>
  <c r="AY61"/>
  <c r="AY62"/>
  <c r="AY64"/>
  <c r="I64" i="59"/>
  <c r="Q58"/>
  <c r="Q49"/>
  <c r="R64" l="1"/>
  <c r="R58"/>
  <c r="P64"/>
  <c r="P58"/>
  <c r="N64"/>
  <c r="N58"/>
  <c r="L64"/>
  <c r="L58"/>
  <c r="J64"/>
  <c r="J58"/>
  <c r="H64"/>
  <c r="H58"/>
  <c r="Q24"/>
  <c r="I57"/>
  <c r="G57"/>
  <c r="M57"/>
  <c r="G68"/>
  <c r="Q46"/>
  <c r="O35"/>
  <c r="O57"/>
  <c r="O68"/>
  <c r="AC5" i="76"/>
  <c r="BM5"/>
  <c r="AG5"/>
  <c r="BQ5"/>
  <c r="AF5"/>
  <c r="BP5"/>
  <c r="AE5"/>
  <c r="BO5"/>
  <c r="AD5"/>
  <c r="BN5"/>
  <c r="AC6"/>
  <c r="BM6"/>
  <c r="AD6"/>
  <c r="AB6"/>
  <c r="AG6"/>
  <c r="BL6"/>
  <c r="BP11"/>
  <c r="BQ11"/>
  <c r="BM10"/>
  <c r="BN10"/>
  <c r="AF6"/>
  <c r="BP6"/>
  <c r="BQ6"/>
  <c r="AE6"/>
  <c r="BO6"/>
  <c r="BN6"/>
  <c r="BP10"/>
  <c r="BO10"/>
  <c r="BQ10"/>
  <c r="BL11"/>
  <c r="BO11"/>
  <c r="BN11"/>
  <c r="BM11"/>
  <c r="BO20"/>
  <c r="BN24"/>
  <c r="BP24"/>
  <c r="BQ20"/>
  <c r="BP21"/>
  <c r="BM20"/>
  <c r="BL21"/>
  <c r="BN21"/>
  <c r="BP22"/>
  <c r="BL18"/>
  <c r="BM19"/>
  <c r="BL19"/>
  <c r="BO18"/>
  <c r="BP19"/>
  <c r="BM18"/>
  <c r="BN18"/>
  <c r="BQ18"/>
  <c r="BP18"/>
  <c r="BO19"/>
  <c r="BN19"/>
  <c r="BQ19"/>
  <c r="BL20"/>
  <c r="BN20"/>
  <c r="BP20"/>
  <c r="BM21"/>
  <c r="BO21"/>
  <c r="BQ21"/>
  <c r="BN22"/>
  <c r="BL22"/>
  <c r="BM22"/>
  <c r="BO22"/>
  <c r="BQ22"/>
  <c r="BL24"/>
  <c r="BQ24"/>
  <c r="BM24"/>
  <c r="BO24"/>
  <c r="BO26"/>
  <c r="BQ35"/>
  <c r="BL36"/>
  <c r="BM26"/>
  <c r="BQ26"/>
  <c r="BN35"/>
  <c r="BO35"/>
  <c r="BP36"/>
  <c r="BL26"/>
  <c r="BN26"/>
  <c r="BP26"/>
  <c r="BL35"/>
  <c r="BM35"/>
  <c r="BP35"/>
  <c r="BM36"/>
  <c r="BN36"/>
  <c r="BQ36"/>
  <c r="BO36"/>
  <c r="BM37"/>
  <c r="BO37"/>
  <c r="BL37"/>
  <c r="BN37"/>
  <c r="BQ37"/>
  <c r="BN45"/>
  <c r="BL45"/>
  <c r="BN48"/>
  <c r="BN44"/>
  <c r="BM44"/>
  <c r="BL44"/>
  <c r="BO46"/>
  <c r="BO48"/>
  <c r="BP37"/>
  <c r="BQ42"/>
  <c r="BP45"/>
  <c r="BQ46"/>
  <c r="BP46"/>
  <c r="BL48"/>
  <c r="BO42"/>
  <c r="BM42"/>
  <c r="BP42"/>
  <c r="BL42"/>
  <c r="BN42"/>
  <c r="BQ43"/>
  <c r="BM43"/>
  <c r="BP43"/>
  <c r="BO43"/>
  <c r="BN43"/>
  <c r="BL43"/>
  <c r="BP44"/>
  <c r="BO44"/>
  <c r="BQ44"/>
  <c r="BQ45"/>
  <c r="BM45"/>
  <c r="BO45"/>
  <c r="BN46"/>
  <c r="BM46"/>
  <c r="BL46"/>
  <c r="BP48"/>
  <c r="BQ48"/>
  <c r="BM48"/>
  <c r="BO50"/>
  <c r="BN51"/>
  <c r="BN54"/>
  <c r="BM51"/>
  <c r="BM52"/>
  <c r="BM53"/>
  <c r="BQ53"/>
  <c r="BO53"/>
  <c r="BQ51"/>
  <c r="BQ52"/>
  <c r="BP52"/>
  <c r="BL50"/>
  <c r="BM50"/>
  <c r="BP50"/>
  <c r="BQ50"/>
  <c r="BN50"/>
  <c r="BP51"/>
  <c r="BO51"/>
  <c r="BL51"/>
  <c r="BL52"/>
  <c r="BO52"/>
  <c r="BN52"/>
  <c r="BP53"/>
  <c r="BL53"/>
  <c r="BN53"/>
  <c r="BQ54"/>
  <c r="BP54"/>
  <c r="BO54"/>
  <c r="BM54"/>
  <c r="BL54"/>
  <c r="BM61"/>
  <c r="BQ58"/>
  <c r="BP59"/>
  <c r="BQ60"/>
  <c r="BO61"/>
  <c r="BN62"/>
  <c r="BP58"/>
  <c r="BM59"/>
  <c r="BL59"/>
  <c r="BN60"/>
  <c r="BQ61"/>
  <c r="BL58"/>
  <c r="BN58"/>
  <c r="BO58"/>
  <c r="BM58"/>
  <c r="BN59"/>
  <c r="BO59"/>
  <c r="BQ59"/>
  <c r="BO60"/>
  <c r="BM60"/>
  <c r="BL60"/>
  <c r="BP60"/>
  <c r="BP61"/>
  <c r="BL61"/>
  <c r="BN61"/>
  <c r="BQ62"/>
  <c r="BP62"/>
  <c r="BO62"/>
  <c r="BM62"/>
  <c r="BL62"/>
  <c r="BP64"/>
  <c r="BN64"/>
  <c r="BM64"/>
  <c r="BJ73"/>
  <c r="BP73"/>
  <c r="BO73"/>
  <c r="BO64"/>
  <c r="BL64"/>
  <c r="BM68"/>
  <c r="BL68"/>
  <c r="BG68"/>
  <c r="BI68"/>
  <c r="BL73"/>
  <c r="BK73"/>
  <c r="BQ64"/>
  <c r="BN68"/>
  <c r="BH68"/>
  <c r="BK68"/>
  <c r="BQ68"/>
  <c r="BF68"/>
  <c r="BJ68"/>
  <c r="BP68"/>
  <c r="BO68"/>
  <c r="BG73"/>
  <c r="BF73"/>
  <c r="BQ73"/>
  <c r="BI73"/>
  <c r="BH73"/>
  <c r="BN73"/>
  <c r="BM73"/>
  <c r="BL78"/>
  <c r="BF78"/>
  <c r="BK78"/>
  <c r="BJ78"/>
  <c r="BQ78"/>
  <c r="BL83"/>
  <c r="BF83"/>
  <c r="BH83"/>
  <c r="BN83"/>
  <c r="BO93"/>
  <c r="BI93"/>
  <c r="BK93"/>
  <c r="BQ93"/>
  <c r="BF98"/>
  <c r="BH98"/>
  <c r="BN98"/>
  <c r="BP103"/>
  <c r="BJ103"/>
  <c r="BG108"/>
  <c r="BM108"/>
  <c r="BL108"/>
  <c r="BO108"/>
  <c r="BI108"/>
  <c r="BQ108"/>
  <c r="BK108"/>
  <c r="BJ83"/>
  <c r="BP83"/>
  <c r="BG93"/>
  <c r="BM93"/>
  <c r="BP98"/>
  <c r="BJ98"/>
  <c r="BH78"/>
  <c r="BN78"/>
  <c r="BI78"/>
  <c r="BO78"/>
  <c r="BP78"/>
  <c r="BG78"/>
  <c r="BM78"/>
  <c r="BI83"/>
  <c r="BO83"/>
  <c r="BQ83"/>
  <c r="BK83"/>
  <c r="BG83"/>
  <c r="BM83"/>
  <c r="BL88"/>
  <c r="BF88"/>
  <c r="BH88"/>
  <c r="BN88"/>
  <c r="BJ88"/>
  <c r="BP88"/>
  <c r="BG88"/>
  <c r="BM88"/>
  <c r="BO88"/>
  <c r="BI88"/>
  <c r="BQ88"/>
  <c r="BK88"/>
  <c r="BL93"/>
  <c r="BF93"/>
  <c r="BN93"/>
  <c r="BH93"/>
  <c r="BJ93"/>
  <c r="BP93"/>
  <c r="BG98"/>
  <c r="BM98"/>
  <c r="BL98"/>
  <c r="BI98"/>
  <c r="BO98"/>
  <c r="BQ98"/>
  <c r="BK98"/>
  <c r="BF103"/>
  <c r="BL103"/>
  <c r="BH103"/>
  <c r="BN103"/>
  <c r="BM103"/>
  <c r="BG103"/>
  <c r="BO103"/>
  <c r="BI103"/>
  <c r="BK103"/>
  <c r="BQ103"/>
  <c r="BF108"/>
  <c r="BH108"/>
  <c r="BN108"/>
  <c r="BP108"/>
  <c r="BJ108"/>
  <c r="BJ118"/>
  <c r="BP118"/>
  <c r="BH118"/>
  <c r="BN118"/>
  <c r="BF118"/>
  <c r="BL118"/>
  <c r="BG118"/>
  <c r="BM118"/>
  <c r="BI118"/>
  <c r="BO118"/>
  <c r="BQ118"/>
  <c r="BK118"/>
  <c r="BF123"/>
  <c r="BL123"/>
  <c r="BH123"/>
  <c r="BN123"/>
  <c r="BJ123"/>
  <c r="BP123"/>
  <c r="BM123"/>
  <c r="BG123"/>
  <c r="BI123"/>
  <c r="BO123"/>
  <c r="BQ123"/>
  <c r="BK123"/>
  <c r="AB5"/>
  <c r="BL5"/>
  <c r="BL10"/>
  <c r="BL167"/>
  <c r="BL169"/>
  <c r="AG24" i="45"/>
  <c r="AN24" s="1"/>
  <c r="AF24"/>
  <c r="AM24" s="1"/>
  <c r="AE24"/>
  <c r="AL24" s="1"/>
  <c r="AD24"/>
  <c r="AK24" s="1"/>
  <c r="AC24"/>
  <c r="AJ24" s="1"/>
  <c r="AB24"/>
  <c r="AI24" s="1"/>
  <c r="K52" i="59"/>
  <c r="M50"/>
  <c r="M47"/>
  <c r="G51"/>
  <c r="O52"/>
  <c r="Q69"/>
  <c r="M72"/>
  <c r="G50"/>
  <c r="M48"/>
  <c r="I49"/>
  <c r="G48"/>
  <c r="K76"/>
  <c r="I71"/>
  <c r="O53"/>
  <c r="O48"/>
  <c r="G52"/>
  <c r="K48"/>
  <c r="O50"/>
  <c r="K53"/>
  <c r="I50"/>
  <c r="I52"/>
  <c r="G53"/>
  <c r="O47"/>
  <c r="M51"/>
  <c r="I47"/>
  <c r="I53"/>
  <c r="G47"/>
  <c r="I51"/>
  <c r="K50"/>
  <c r="I48"/>
  <c r="M49"/>
  <c r="M53"/>
  <c r="K49"/>
  <c r="O51"/>
  <c r="G49"/>
  <c r="K47"/>
  <c r="O49"/>
  <c r="Q73"/>
  <c r="K65"/>
  <c r="Q62"/>
  <c r="K51"/>
  <c r="M52"/>
  <c r="I75"/>
  <c r="R71" l="1"/>
  <c r="R72"/>
  <c r="R73"/>
  <c r="R69"/>
  <c r="R76"/>
  <c r="R75"/>
  <c r="P71"/>
  <c r="P72"/>
  <c r="P73"/>
  <c r="P69"/>
  <c r="P76"/>
  <c r="P75"/>
  <c r="N71"/>
  <c r="N72"/>
  <c r="N73"/>
  <c r="N69"/>
  <c r="N76"/>
  <c r="N75"/>
  <c r="L71"/>
  <c r="L72"/>
  <c r="L73"/>
  <c r="L69"/>
  <c r="L76"/>
  <c r="L75"/>
  <c r="J71"/>
  <c r="J72"/>
  <c r="J73"/>
  <c r="J69"/>
  <c r="J76"/>
  <c r="J75"/>
  <c r="H71"/>
  <c r="H72"/>
  <c r="H73"/>
  <c r="H69"/>
  <c r="H76"/>
  <c r="H75"/>
  <c r="R65"/>
  <c r="R62"/>
  <c r="P65"/>
  <c r="P62"/>
  <c r="N65"/>
  <c r="N62"/>
  <c r="L65"/>
  <c r="L62"/>
  <c r="J65"/>
  <c r="J62"/>
  <c r="H65"/>
  <c r="H62"/>
  <c r="R51"/>
  <c r="R52"/>
  <c r="R47"/>
  <c r="R53"/>
  <c r="R48"/>
  <c r="R50"/>
  <c r="R49"/>
  <c r="P51"/>
  <c r="P50"/>
  <c r="P49"/>
  <c r="P48"/>
  <c r="P52"/>
  <c r="P47"/>
  <c r="P53"/>
  <c r="N48"/>
  <c r="N47"/>
  <c r="N51"/>
  <c r="N50"/>
  <c r="N53"/>
  <c r="N49"/>
  <c r="N52"/>
  <c r="L49"/>
  <c r="L48"/>
  <c r="L51"/>
  <c r="L47"/>
  <c r="L50"/>
  <c r="L53"/>
  <c r="L52"/>
  <c r="J49"/>
  <c r="J53"/>
  <c r="J47"/>
  <c r="J50"/>
  <c r="J52"/>
  <c r="J51"/>
  <c r="J48"/>
  <c r="H51"/>
  <c r="H52"/>
  <c r="H47"/>
  <c r="H53"/>
  <c r="H48"/>
  <c r="H50"/>
  <c r="H49"/>
  <c r="K24"/>
  <c r="P24" s="1"/>
  <c r="K35"/>
  <c r="R35" s="1"/>
  <c r="K68"/>
  <c r="Q57"/>
  <c r="M46"/>
  <c r="I46"/>
  <c r="I68"/>
  <c r="Q68"/>
  <c r="M68"/>
  <c r="K57"/>
  <c r="K46"/>
  <c r="O46"/>
  <c r="G46"/>
  <c r="R24" l="1"/>
  <c r="L24"/>
  <c r="N24"/>
  <c r="J24"/>
  <c r="H24"/>
  <c r="P68"/>
  <c r="R68"/>
  <c r="N68"/>
  <c r="L68"/>
  <c r="H68"/>
  <c r="J68"/>
  <c r="P57"/>
  <c r="R57"/>
  <c r="N57"/>
  <c r="H57"/>
  <c r="L57"/>
  <c r="J57"/>
  <c r="R46"/>
  <c r="P46"/>
  <c r="N46"/>
  <c r="L46"/>
  <c r="J46"/>
  <c r="H46"/>
  <c r="P35"/>
  <c r="L35"/>
  <c r="N35"/>
  <c r="H35"/>
  <c r="J35"/>
  <c r="F111" i="64"/>
  <c r="F96" i="58"/>
  <c r="F105" i="64"/>
  <c r="F90" i="58"/>
  <c r="F102"/>
  <c r="F117" i="64"/>
  <c r="F95" i="58"/>
  <c r="F110" i="64"/>
  <c r="F120"/>
  <c r="F105" i="58"/>
  <c r="F125" i="64"/>
  <c r="F110" i="58"/>
  <c r="F97"/>
  <c r="F112" i="64"/>
  <c r="F92" i="58"/>
  <c r="F107" i="64"/>
  <c r="F115"/>
  <c r="F100" i="58"/>
  <c r="F111"/>
  <c r="F126" i="64"/>
  <c r="F112" i="58"/>
  <c r="F127" i="64"/>
  <c r="F115" i="58"/>
  <c r="F130" i="64"/>
  <c r="F107" i="58"/>
  <c r="F122" i="64"/>
  <c r="F116" i="58"/>
  <c r="F131" i="64"/>
  <c r="F91" i="58"/>
  <c r="F106" i="64"/>
  <c r="F120" i="58"/>
  <c r="F135" i="64"/>
  <c r="F117" i="58"/>
  <c r="F132" i="64"/>
  <c r="F121" i="58"/>
  <c r="F136" i="64"/>
  <c r="F101" i="58"/>
  <c r="F116" i="64"/>
  <c r="F106" i="58"/>
  <c r="F121" i="64"/>
  <c r="F137"/>
  <c r="F122" i="58"/>
</calcChain>
</file>

<file path=xl/comments1.xml><?xml version="1.0" encoding="utf-8"?>
<comments xmlns="http://schemas.openxmlformats.org/spreadsheetml/2006/main">
  <authors>
    <author>PauloRui</author>
  </authors>
  <commentList>
    <comment ref="E35" authorId="0">
      <text>
        <r>
          <rPr>
            <sz val="9"/>
            <color indexed="81"/>
            <rFont val="Tahoma"/>
            <family val="2"/>
          </rPr>
          <t>MORE ID number, carried over from previous stages (option generation, stakeholder engagement, modelling). The ID is generated using this file: MORE WP5 UniqueIDGenerator_July2021.xlsx. 
Options that do not have an ID number inserted here will not be considered by the tool.</t>
        </r>
      </text>
    </comment>
    <comment ref="E38" authorId="0">
      <text>
        <r>
          <rPr>
            <sz val="9"/>
            <color indexed="81"/>
            <rFont val="Tahoma"/>
            <family val="2"/>
          </rPr>
          <t>Annual cost of redesigning the road, i.e. adding and removing design elements, changing the position of design elements, etc. 
If no information is added, the option will not be included in the cost-benefit analysis module
For Option 0, the implementation cost is always 0</t>
        </r>
      </text>
    </comment>
    <comment ref="E39" authorId="0">
      <text>
        <r>
          <rPr>
            <sz val="9"/>
            <color indexed="81"/>
            <rFont val="Tahoma"/>
            <family val="2"/>
          </rPr>
          <t>Annual estimated cost of maintaining all road design elements (e.g. regular resurfacing lanes, repairs, replanting green elements, etc.). 
If no information is added, the option will not be included in the cost-benefit analysis module</t>
        </r>
      </text>
    </comment>
    <comment ref="E49" authorId="0">
      <text>
        <r>
          <rPr>
            <sz val="9"/>
            <color indexed="81"/>
            <rFont val="Tahoma"/>
            <family val="2"/>
          </rPr>
          <t>Dedicated space only, shared with no other means of transport. It can be cycle lanes (on the road carrigeway) or cycle tracks (segregated from the carriageway)
Do not include space shared by cyclists and buses (insert it separately below) or space shared by cyclists and the general traffic (insert it as  "lane for general traffic"</t>
        </r>
      </text>
    </comment>
    <comment ref="E58" authorId="0">
      <text>
        <r>
          <rPr>
            <sz val="9"/>
            <color indexed="81"/>
            <rFont val="Tahoma"/>
            <family val="2"/>
          </rPr>
          <t>Crossings where pedestrians have to stop in the middle and wait for another set of lights</t>
        </r>
      </text>
    </comment>
    <comment ref="E62" authorId="0">
      <text>
        <r>
          <rPr>
            <sz val="9"/>
            <color indexed="81"/>
            <rFont val="Tahoma"/>
            <family val="2"/>
          </rPr>
          <t>Structure in middle of road where pedestrians can wait while crossing the road. 
This crossings DO NOT have:
*  zebra-style markings
*  traffic signals for pedestrians
* the legal requirement for drivers to stop</t>
        </r>
      </text>
    </comment>
    <comment ref="E67" authorId="0">
      <text>
        <r>
          <rPr>
            <sz val="9"/>
            <color indexed="81"/>
            <rFont val="Tahoma"/>
            <family val="2"/>
          </rPr>
          <t>Unsegregated lane: dedicated space for cyclists on the road carriageway, not physically separated from the rest of the carriageway and other vehicles
Segregated track: dedicated space for cyclists not on the road carriageway, physically separated from other vehicles</t>
        </r>
      </text>
    </comment>
  </commentList>
</comments>
</file>

<file path=xl/comments2.xml><?xml version="1.0" encoding="utf-8"?>
<comments xmlns="http://schemas.openxmlformats.org/spreadsheetml/2006/main">
  <authors>
    <author>PauloRui</author>
  </authors>
  <commentList>
    <comment ref="F25" authorId="0">
      <text>
        <r>
          <rPr>
            <sz val="9"/>
            <color indexed="81"/>
            <rFont val="Tahoma"/>
            <family val="2"/>
          </rPr>
          <t>If you chose "Other" and fill your own indicator in this row, note that:
* Volume and speed should be expressed with a positive indicator (higher values are 
BETTER for movement)
* Travel time, delays, reliability, and trip quality should be expressed with a negative indicator (higher values are WORSE for movement)</t>
        </r>
      </text>
    </comment>
  </commentList>
</comments>
</file>

<file path=xl/comments3.xml><?xml version="1.0" encoding="utf-8"?>
<comments xmlns="http://schemas.openxmlformats.org/spreadsheetml/2006/main">
  <authors>
    <author>PauloRui</author>
  </authors>
  <commentList>
    <comment ref="F24" authorId="0">
      <text>
        <r>
          <rPr>
            <sz val="9"/>
            <color indexed="81"/>
            <rFont val="Tahoma"/>
            <family val="2"/>
          </rPr>
          <t>Stationary activities involving vehicles (parking, stopping for loadng goods, stopping for other reasons)</t>
        </r>
      </text>
    </comment>
    <comment ref="F26" authorId="0">
      <text>
        <r>
          <rPr>
            <sz val="9"/>
            <color indexed="81"/>
            <rFont val="Tahoma"/>
            <family val="2"/>
          </rPr>
          <t>If you chose "Other" and fill your own indicator in this row, note that:
* Number and duration should be expressed with a positive indicator (higher values are  BETTER for vehicle-based activities)
* Quality should be expressed with a negative indicator (higher values are WORSE for vehicle-based activities)</t>
        </r>
      </text>
    </comment>
    <comment ref="F40" authorId="0">
      <text>
        <r>
          <rPr>
            <sz val="9"/>
            <color indexed="81"/>
            <rFont val="Tahoma"/>
            <family val="2"/>
          </rPr>
          <t>Stationary activities performed by people (not involving vehicles), e.g. strolling, sitting</t>
        </r>
      </text>
    </comment>
    <comment ref="F42" authorId="0">
      <text>
        <r>
          <rPr>
            <sz val="9"/>
            <color indexed="81"/>
            <rFont val="Tahoma"/>
            <family val="2"/>
          </rPr>
          <t>If you chose "Other" and fill your own indicator in this row, note that:
* Number and duration should be expressed with a positive indicator (higher values are  BETTER for people-based activities)
* Quality should be expressed with a negative indicator (higher values are WORSE for people-based activities)</t>
        </r>
      </text>
    </comment>
  </commentList>
</comments>
</file>

<file path=xl/comments4.xml><?xml version="1.0" encoding="utf-8"?>
<comments xmlns="http://schemas.openxmlformats.org/spreadsheetml/2006/main">
  <authors>
    <author>PauloRui</author>
  </authors>
  <commentList>
    <comment ref="G175" authorId="0">
      <text>
        <r>
          <rPr>
            <sz val="9"/>
            <color indexed="81"/>
            <rFont val="Tahoma"/>
            <family val="2"/>
          </rPr>
          <t>Index of how difficult it is to cross the road. It takes into account: road width, median strip, motorised traffic volumes and speeds, and number and type of crossings. 
Index developed at UCL, more information at: Anciaes and Jones 2020 A comprehensive approach for the appraisal of the barrier effect of roads on pedestrians. Transportation Research Part A 134, 227-250</t>
        </r>
      </text>
    </comment>
  </commentList>
</comments>
</file>

<file path=xl/sharedStrings.xml><?xml version="1.0" encoding="utf-8"?>
<sst xmlns="http://schemas.openxmlformats.org/spreadsheetml/2006/main" count="2101" uniqueCount="786">
  <si>
    <t>ROADSPACE ALLOCATION APPRAISAL TOOL</t>
  </si>
  <si>
    <t>DEVELOPMENT</t>
  </si>
  <si>
    <r>
      <t xml:space="preserve">Dr. Paulo Anciaes, </t>
    </r>
    <r>
      <rPr>
        <u/>
        <sz val="11"/>
        <color theme="3"/>
        <rFont val="Calibri"/>
        <family val="2"/>
        <scheme val="minor"/>
      </rPr>
      <t>p.anciaes@ucl.ac.uk</t>
    </r>
  </si>
  <si>
    <t>STRUCTURE</t>
  </si>
  <si>
    <t>INSTRUCTIONS</t>
  </si>
  <si>
    <t>Option 1</t>
  </si>
  <si>
    <t>Option 2</t>
  </si>
  <si>
    <t>Option 3</t>
  </si>
  <si>
    <t>Option 4</t>
  </si>
  <si>
    <t>Option 5</t>
  </si>
  <si>
    <t>Options for space reallocation</t>
  </si>
  <si>
    <t>Legend</t>
  </si>
  <si>
    <t>Indicator</t>
  </si>
  <si>
    <t>Insert value of the indicator chosen above</t>
  </si>
  <si>
    <t>Pedestrians</t>
  </si>
  <si>
    <t>Volume</t>
  </si>
  <si>
    <t>Reliability</t>
  </si>
  <si>
    <t>Quality</t>
  </si>
  <si>
    <t>Trip quality</t>
  </si>
  <si>
    <t>Delays</t>
  </si>
  <si>
    <t>Number</t>
  </si>
  <si>
    <t>Economic</t>
  </si>
  <si>
    <t>Property values</t>
  </si>
  <si>
    <t>Expenditure</t>
  </si>
  <si>
    <t>Social</t>
  </si>
  <si>
    <t>Environmental</t>
  </si>
  <si>
    <t>Physical activity</t>
  </si>
  <si>
    <t>Community severance</t>
  </si>
  <si>
    <t>Personal security</t>
  </si>
  <si>
    <t>Co2 emissions</t>
  </si>
  <si>
    <t>Noise</t>
  </si>
  <si>
    <t>Local climate</t>
  </si>
  <si>
    <t>Value</t>
  </si>
  <si>
    <t>X</t>
  </si>
  <si>
    <t>COST-BENEFIT ANALYSIS</t>
  </si>
  <si>
    <t>Unit</t>
  </si>
  <si>
    <t>Duration</t>
  </si>
  <si>
    <t>Best option</t>
  </si>
  <si>
    <t>Reduce travel time</t>
  </si>
  <si>
    <t>Reduce community severance</t>
  </si>
  <si>
    <t>Objectives</t>
  </si>
  <si>
    <t>MULTI-CRITERIA ANALYSIS</t>
  </si>
  <si>
    <t>Value of travel time</t>
  </si>
  <si>
    <t>Cyclists</t>
  </si>
  <si>
    <t>Best possible</t>
  </si>
  <si>
    <t>Worst possible</t>
  </si>
  <si>
    <t>Score</t>
  </si>
  <si>
    <t>GENERAL INPUTS: ROAD DESIGN</t>
  </si>
  <si>
    <t>GENERAL INPUTS: PLACE FUNCTION</t>
  </si>
  <si>
    <t>COST-BENEFIT ANALYSIS: OUTPUT</t>
  </si>
  <si>
    <t>Scale</t>
  </si>
  <si>
    <t>CBAin</t>
  </si>
  <si>
    <t>CBAout</t>
  </si>
  <si>
    <t>MCAin</t>
  </si>
  <si>
    <t>MCAout</t>
  </si>
  <si>
    <t>DESCRIPTION</t>
  </si>
  <si>
    <t>TAB</t>
  </si>
  <si>
    <t>CONTENTS</t>
  </si>
  <si>
    <t>GENERAL INPUTS</t>
  </si>
  <si>
    <t>Output</t>
  </si>
  <si>
    <t>Inputs: Road design</t>
  </si>
  <si>
    <t>Additional inputs: political priorities</t>
  </si>
  <si>
    <t>Additional inputs: scales and weights of different stakeholders</t>
  </si>
  <si>
    <t>MODULE</t>
  </si>
  <si>
    <t>MULTI-CRITERIA ANALYSIS: OUTPUT</t>
  </si>
  <si>
    <t>x</t>
  </si>
  <si>
    <t>red font</t>
  </si>
  <si>
    <t>blue font</t>
  </si>
  <si>
    <t>brown font</t>
  </si>
  <si>
    <t>Copied from another cell or page. Can only be changed by changing the original value</t>
  </si>
  <si>
    <t>Calculated from another cell or page. Can only be changed by changing the original value</t>
  </si>
  <si>
    <t>INPUTS</t>
  </si>
  <si>
    <t>Cost-benefit analysis</t>
  </si>
  <si>
    <t>Inputs: Place function</t>
  </si>
  <si>
    <t>Multi-criteria analysis</t>
  </si>
  <si>
    <t>TEXT</t>
  </si>
  <si>
    <t>Click on tab name to go directly to that tab or click the module name to go to the first tab of that module</t>
  </si>
  <si>
    <t>Degree of importance</t>
  </si>
  <si>
    <t>Green areas</t>
  </si>
  <si>
    <t>¢</t>
  </si>
  <si>
    <t>Average speed (km/h)</t>
  </si>
  <si>
    <t>Average duration (minutes)</t>
  </si>
  <si>
    <t>Input by choosing from dropdown menu</t>
  </si>
  <si>
    <t>Introduction</t>
  </si>
  <si>
    <t>Introduction: module description, inputs, outputs</t>
  </si>
  <si>
    <t>Buses</t>
  </si>
  <si>
    <t>Option 0 (Do nothing)</t>
  </si>
  <si>
    <t>City</t>
  </si>
  <si>
    <t>London</t>
  </si>
  <si>
    <t>Number of visits to local shops per day</t>
  </si>
  <si>
    <t>Stroll</t>
  </si>
  <si>
    <t>Sit (street furniture)</t>
  </si>
  <si>
    <t>Sit (outdoor café)</t>
  </si>
  <si>
    <t>Cross the road</t>
  </si>
  <si>
    <t>Park</t>
  </si>
  <si>
    <t>Interchange</t>
  </si>
  <si>
    <t>Wait</t>
  </si>
  <si>
    <t>Car drivers</t>
  </si>
  <si>
    <t>Move</t>
  </si>
  <si>
    <t>Motorcyclists</t>
  </si>
  <si>
    <t>Priority</t>
  </si>
  <si>
    <t>Pedestrians
(restricted mobility)</t>
  </si>
  <si>
    <t>Increase number of trips</t>
  </si>
  <si>
    <t>Increase travel time reliability</t>
  </si>
  <si>
    <t>Improve air quality</t>
  </si>
  <si>
    <t>Improve regional/global environment</t>
  </si>
  <si>
    <t>Objective</t>
  </si>
  <si>
    <t>Link function</t>
  </si>
  <si>
    <t>Place function</t>
  </si>
  <si>
    <t>Wider impacts</t>
  </si>
  <si>
    <t>Number of activities</t>
  </si>
  <si>
    <t>Performance indicator</t>
  </si>
  <si>
    <t>COST-BENEFIT ANALYSIS: INTRODUCTION</t>
  </si>
  <si>
    <t>MULTI-CRITERIA ANALYSIS: INTRODUCTION</t>
  </si>
  <si>
    <r>
      <t>OUTPUT (MCA</t>
    </r>
    <r>
      <rPr>
        <b/>
        <i/>
        <sz val="12"/>
        <color theme="1"/>
        <rFont val="Calibri"/>
        <family val="2"/>
        <scheme val="minor"/>
      </rPr>
      <t xml:space="preserve">out </t>
    </r>
    <r>
      <rPr>
        <b/>
        <sz val="12"/>
        <color theme="1"/>
        <rFont val="Calibri"/>
        <family val="2"/>
        <scheme val="minor"/>
      </rPr>
      <t>page</t>
    </r>
    <r>
      <rPr>
        <b/>
        <sz val="14"/>
        <color theme="1"/>
        <rFont val="Calibri"/>
        <family val="2"/>
        <scheme val="minor"/>
      </rPr>
      <t>)</t>
    </r>
  </si>
  <si>
    <t>Scale of the indicators (worst and best value), inputted by the tool user</t>
  </si>
  <si>
    <t>Overall score and ranking of the different options by different experts/stakeholders</t>
  </si>
  <si>
    <t>1% change in UCL Index</t>
  </si>
  <si>
    <t>1 fatality avoided</t>
  </si>
  <si>
    <t>Motorcyclist</t>
  </si>
  <si>
    <t>Country</t>
  </si>
  <si>
    <t>England</t>
  </si>
  <si>
    <t>Year</t>
  </si>
  <si>
    <t>UCL</t>
  </si>
  <si>
    <t>UK Department for Transport</t>
  </si>
  <si>
    <t>DEFRA</t>
  </si>
  <si>
    <t>TRL</t>
  </si>
  <si>
    <t>Hopkinson and Wardman</t>
  </si>
  <si>
    <t>Value of parking facilities per minute</t>
  </si>
  <si>
    <t>Sweden</t>
  </si>
  <si>
    <t>Swedish Road Administration</t>
  </si>
  <si>
    <t>This page contains the output of the cost-benefit analysis module. No further user input is needed. Cells in this page cannot be edited</t>
  </si>
  <si>
    <t>The non-monetised changes are directly copied or calculated from user input in other pages.</t>
  </si>
  <si>
    <t>Implementation cost</t>
  </si>
  <si>
    <t>Average time spent on queues</t>
  </si>
  <si>
    <t>Average peak-time speed (km/h)</t>
  </si>
  <si>
    <t>Ratio peak-time speed to free-flow speed</t>
  </si>
  <si>
    <t>Total amount of time (minutes)</t>
  </si>
  <si>
    <t>Property prices (residential), per m2</t>
  </si>
  <si>
    <t>Property prices (commercial), per m2</t>
  </si>
  <si>
    <t>Rents (residential), per m2/month</t>
  </si>
  <si>
    <t>Visits to local businesses</t>
  </si>
  <si>
    <t>Number of fatalities per year</t>
  </si>
  <si>
    <t>Number of traffic collisions per year</t>
  </si>
  <si>
    <t>UCL Index</t>
  </si>
  <si>
    <t>Crossing facilities per m</t>
  </si>
  <si>
    <t>Average waiting time to cross</t>
  </si>
  <si>
    <t>Traffic volumes</t>
  </si>
  <si>
    <t>Traffic speed</t>
  </si>
  <si>
    <t>Ratio of disabled users of road vs ratio of disabled population</t>
  </si>
  <si>
    <t>Ratio of disabled pedestrians crossing the road vs ratio of disabled pedestrians walking</t>
  </si>
  <si>
    <t/>
  </si>
  <si>
    <t>The monetised changes are calculated from the non-monetised changes and the monetary unit values specified in the previous page</t>
  </si>
  <si>
    <t>Synthesis of Impact Analysis</t>
  </si>
  <si>
    <t>Detailed Impact Analysis</t>
  </si>
  <si>
    <t>Number of residents in adjacent area</t>
  </si>
  <si>
    <t>Number of shops in adjacent area</t>
  </si>
  <si>
    <t>Road design</t>
  </si>
  <si>
    <t>Maintenance cost per year</t>
  </si>
  <si>
    <t>% travel time spent on queues</t>
  </si>
  <si>
    <t>% users feeling safe (from crime)</t>
  </si>
  <si>
    <t>Expenditure in local businesses</t>
  </si>
  <si>
    <t>Assessor 1</t>
  </si>
  <si>
    <t>Assessor 2</t>
  </si>
  <si>
    <t>Assessor 3</t>
  </si>
  <si>
    <t>Assessor 4</t>
  </si>
  <si>
    <t>Assessor 5</t>
  </si>
  <si>
    <t>Assessor 6</t>
  </si>
  <si>
    <t>Assessor 7</t>
  </si>
  <si>
    <t>Assessor 8</t>
  </si>
  <si>
    <t>Overall ranking</t>
  </si>
  <si>
    <t>Overall score</t>
  </si>
  <si>
    <t>Link score</t>
  </si>
  <si>
    <t>Place score</t>
  </si>
  <si>
    <t>Economic score</t>
  </si>
  <si>
    <t>Social score</t>
  </si>
  <si>
    <t>Environmental score</t>
  </si>
  <si>
    <t>Cost score</t>
  </si>
  <si>
    <t>Value calculated from other cells</t>
  </si>
  <si>
    <t>This page contains the output of the multi-criteria analysis module. No further user input is needed. Cells in this page cannot be edited</t>
  </si>
  <si>
    <t>The page shows the ranking of each option for each assessor</t>
  </si>
  <si>
    <t>It also shows the overall score of each option for each assessor and scores for different groups of impacts (Link, Place, Economic, Social, and Environment)</t>
  </si>
  <si>
    <t>Average weighted score by group of impact</t>
  </si>
  <si>
    <t>Average weight of impacts in each group</t>
  </si>
  <si>
    <t>Political/technical assessment</t>
  </si>
  <si>
    <t>POLITICAL/TECHNICAL ASSESSMENT</t>
  </si>
  <si>
    <t>POLITICAL AND TECHNICAL ASSESSMENT: INTRODUCTION</t>
  </si>
  <si>
    <t>POLITICAL AND TECHNICAL ASSESSMENT INPUT: POLITICAL PRIORITIES</t>
  </si>
  <si>
    <t>POLITICAL AND TECHNICAL ASSESSMENT: OUTPUT</t>
  </si>
  <si>
    <t>PTAin</t>
  </si>
  <si>
    <t>PTAout</t>
  </si>
  <si>
    <t>Inputs: Movement function</t>
  </si>
  <si>
    <t>GENERAL INPUTS: MOVEMENT FUNCTION</t>
  </si>
  <si>
    <t>Activity</t>
  </si>
  <si>
    <t>The tool was developed at the Centre for Transport Studies at UCL (University College London), with input from other members of the MORE Consortium, and based on trial applications in five European cities: Budapest, Constanta, Lisbon, London, and Malmö.</t>
  </si>
  <si>
    <t>PTA</t>
  </si>
  <si>
    <t>CBA</t>
  </si>
  <si>
    <t>MCA</t>
  </si>
  <si>
    <t>Average</t>
  </si>
  <si>
    <t>i</t>
  </si>
  <si>
    <t>Pedestrian refuge</t>
  </si>
  <si>
    <t>Underpass</t>
  </si>
  <si>
    <t>Footbridge</t>
  </si>
  <si>
    <t>2-stage signalised crossings</t>
  </si>
  <si>
    <t>Signalised crossings</t>
  </si>
  <si>
    <t>Lane for general traffic</t>
  </si>
  <si>
    <t>Space for walking</t>
  </si>
  <si>
    <t>Bus lane</t>
  </si>
  <si>
    <t>Tram lines</t>
  </si>
  <si>
    <t>Option name</t>
  </si>
  <si>
    <t>People-based activities</t>
  </si>
  <si>
    <t>Vehicle-based activities</t>
  </si>
  <si>
    <t>Walk</t>
  </si>
  <si>
    <t>Rent (dock)</t>
  </si>
  <si>
    <t>Rent (dockless)</t>
  </si>
  <si>
    <t>Rail/metro/bus passengers</t>
  </si>
  <si>
    <t>Stop</t>
  </si>
  <si>
    <t>Car share users</t>
  </si>
  <si>
    <t>Taxi drivers (inc. ride-hailing)</t>
  </si>
  <si>
    <t>Goods vehicles</t>
  </si>
  <si>
    <t>Emergency vehicles</t>
  </si>
  <si>
    <t>Service vehicles</t>
  </si>
  <si>
    <t>Movement</t>
  </si>
  <si>
    <t>Reduce congestion</t>
  </si>
  <si>
    <t>Improve trip quality</t>
  </si>
  <si>
    <t>Achieve a more sustainable modal split</t>
  </si>
  <si>
    <t>Place</t>
  </si>
  <si>
    <t>Facilitate place activities (e.g. people sitting)</t>
  </si>
  <si>
    <t>Facilitate kerbside activities (e.g. parking, loading)</t>
  </si>
  <si>
    <t>Improve access to local buildings</t>
  </si>
  <si>
    <t>Road operation</t>
  </si>
  <si>
    <t>Improve resilience (to weather conditions)</t>
  </si>
  <si>
    <t>Increase flexibility (to different road uses)</t>
  </si>
  <si>
    <t>Wider objectives: economic</t>
  </si>
  <si>
    <t>Reduce costs of transport</t>
  </si>
  <si>
    <t>Promote local economy</t>
  </si>
  <si>
    <t>Wider objectives: social</t>
  </si>
  <si>
    <t>Improve traffic safety</t>
  </si>
  <si>
    <t>Increase personal security</t>
  </si>
  <si>
    <t>Promote physical activity/health</t>
  </si>
  <si>
    <t>Promote social interaction</t>
  </si>
  <si>
    <t>Promote social inclusion</t>
  </si>
  <si>
    <t>Increase wellbeing</t>
  </si>
  <si>
    <t>Wider objectives: environment</t>
  </si>
  <si>
    <t>Increase green space</t>
  </si>
  <si>
    <t>Reduce noise</t>
  </si>
  <si>
    <t>Protect soil/water and reduce flood risk</t>
  </si>
  <si>
    <t>Use</t>
  </si>
  <si>
    <t>Bus stopping</t>
  </si>
  <si>
    <t>Car/taxi stopping</t>
  </si>
  <si>
    <t>Car parking</t>
  </si>
  <si>
    <t>Cycle parking</t>
  </si>
  <si>
    <t>Allowed on carriageway</t>
  </si>
  <si>
    <t>Dedicated lane</t>
  </si>
  <si>
    <t>Car share</t>
  </si>
  <si>
    <t>Micromobility</t>
  </si>
  <si>
    <t>Space for cycling</t>
  </si>
  <si>
    <t>Space for parking or loading</t>
  </si>
  <si>
    <t>Space</t>
  </si>
  <si>
    <t>Cars/taxis</t>
  </si>
  <si>
    <t>Taxi passengers (inc. ride-hailing)</t>
  </si>
  <si>
    <t>Mixed bus-cycle lane</t>
  </si>
  <si>
    <t>All</t>
  </si>
  <si>
    <t>Strolling</t>
  </si>
  <si>
    <t>Sitting (street furniture)</t>
  </si>
  <si>
    <t>Sitting (outdoor cafe)</t>
  </si>
  <si>
    <t>Cycle parking (dock)</t>
  </si>
  <si>
    <t>Cycle parking (dockless)</t>
  </si>
  <si>
    <t>Loading (goods vehicle)</t>
  </si>
  <si>
    <t>Costs of transport</t>
  </si>
  <si>
    <t>Social interaction</t>
  </si>
  <si>
    <t>Inclusion (pedestrians with disabilities)</t>
  </si>
  <si>
    <t>Wellbeing</t>
  </si>
  <si>
    <t>Green space</t>
  </si>
  <si>
    <t>Soil and water</t>
  </si>
  <si>
    <t>Zebra (marked unsignalised crossing)</t>
  </si>
  <si>
    <t>Cycle</t>
  </si>
  <si>
    <t>Allowed on pedestrian pavement</t>
  </si>
  <si>
    <t>Allowed on all three</t>
  </si>
  <si>
    <t>Allowed on cycle infrastructure</t>
  </si>
  <si>
    <t>Not allowed anywhere</t>
  </si>
  <si>
    <t>Choose from dropdown menus</t>
  </si>
  <si>
    <t>Total costs of transport per year</t>
  </si>
  <si>
    <t>Inclusion</t>
  </si>
  <si>
    <t>Co2</t>
  </si>
  <si>
    <t>Number of visits to local shops per year</t>
  </si>
  <si>
    <t>All people-based activities</t>
  </si>
  <si>
    <t>Bus drivers</t>
  </si>
  <si>
    <t>Bus passengers</t>
  </si>
  <si>
    <t>Improve local climate</t>
  </si>
  <si>
    <t>Reduce energy consumption</t>
  </si>
  <si>
    <t>Energy</t>
  </si>
  <si>
    <t>Other</t>
  </si>
  <si>
    <t>Width available</t>
  </si>
  <si>
    <t>Other design elements</t>
  </si>
  <si>
    <t>Option ID number</t>
  </si>
  <si>
    <t>Travel time</t>
  </si>
  <si>
    <t>Speed</t>
  </si>
  <si>
    <t>Density (vehicles per m or pedestrians per m2)</t>
  </si>
  <si>
    <t>% of simulation runs when density standard was exceeded</t>
  </si>
  <si>
    <t>Average speed (km/h) at network level</t>
  </si>
  <si>
    <t>Average peak-time speed (km/h) at network level</t>
  </si>
  <si>
    <t>Average number of stops</t>
  </si>
  <si>
    <t>Ratio of waiting times over total travel time</t>
  </si>
  <si>
    <t>% time with speed below standards</t>
  </si>
  <si>
    <t>Fuel consumption (network level)</t>
  </si>
  <si>
    <t>Variance of travel time</t>
  </si>
  <si>
    <t>Variance of travel time (network level)</t>
  </si>
  <si>
    <t>95% percentile of travel time</t>
  </si>
  <si>
    <t>95% percentile of travel time (network level)</t>
  </si>
  <si>
    <t>Variance of travel speed</t>
  </si>
  <si>
    <t>Variance of travel speed (network level)</t>
  </si>
  <si>
    <t>95% percentile of travel speed</t>
  </si>
  <si>
    <t>95% percentile of travel speed (network level)</t>
  </si>
  <si>
    <t>Number of vehicles that could not be parked</t>
  </si>
  <si>
    <t>Proportion of vehicles that could not be parked</t>
  </si>
  <si>
    <t>Proportion of time the space was occupied</t>
  </si>
  <si>
    <t>Variance of proportion of vehicles that could not be parked</t>
  </si>
  <si>
    <t>95% percentile of proportion of vehicles that could not be parked</t>
  </si>
  <si>
    <t>Error message</t>
  </si>
  <si>
    <t>Worst</t>
  </si>
  <si>
    <t>Best</t>
  </si>
  <si>
    <t>Overall</t>
  </si>
  <si>
    <t>Cost</t>
  </si>
  <si>
    <t>Link</t>
  </si>
  <si>
    <t>WEIGHTS</t>
  </si>
  <si>
    <t>Options to assess:</t>
  </si>
  <si>
    <t>Include</t>
  </si>
  <si>
    <t>Invalid assessor</t>
  </si>
  <si>
    <t>Number of violations of political priorities</t>
  </si>
  <si>
    <t>Number of violations of standards</t>
  </si>
  <si>
    <t>-</t>
  </si>
  <si>
    <t>Standards</t>
  </si>
  <si>
    <t>ug/m3</t>
  </si>
  <si>
    <t>Cyclist</t>
  </si>
  <si>
    <t>Deflator</t>
  </si>
  <si>
    <t>1 serious casualty</t>
  </si>
  <si>
    <t>1 slight casualty</t>
  </si>
  <si>
    <t>1 Co2 Tonne</t>
  </si>
  <si>
    <t>Option3</t>
  </si>
  <si>
    <t>Option4</t>
  </si>
  <si>
    <t>Option5</t>
  </si>
  <si>
    <t>DfT TAG</t>
  </si>
  <si>
    <t>Unknown</t>
  </si>
  <si>
    <t>Pedestrian</t>
  </si>
  <si>
    <t>Malmö</t>
  </si>
  <si>
    <t>Lisbon</t>
  </si>
  <si>
    <t>Budapest</t>
  </si>
  <si>
    <t>Constanta</t>
  </si>
  <si>
    <t>Countries</t>
  </si>
  <si>
    <t>Currency</t>
  </si>
  <si>
    <t>Portugal</t>
  </si>
  <si>
    <t>Hungary</t>
  </si>
  <si>
    <t>Romania</t>
  </si>
  <si>
    <t>£</t>
  </si>
  <si>
    <t>€</t>
  </si>
  <si>
    <t>SEK</t>
  </si>
  <si>
    <t>HUF</t>
  </si>
  <si>
    <t>RON</t>
  </si>
  <si>
    <t>Trafikvertek</t>
  </si>
  <si>
    <t>€/£</t>
  </si>
  <si>
    <t>SEK/£</t>
  </si>
  <si>
    <t>HUF/&amp;</t>
  </si>
  <si>
    <t>RON/£</t>
  </si>
  <si>
    <t>€/SEK</t>
  </si>
  <si>
    <t>£/SEK</t>
  </si>
  <si>
    <t>HUF/SEK</t>
  </si>
  <si>
    <t>RON/SEK</t>
  </si>
  <si>
    <t>Car</t>
  </si>
  <si>
    <t>Column in CBA values</t>
  </si>
  <si>
    <t>Value per minute per passenger (46% commuting, 8% business, 46% other purposes)</t>
  </si>
  <si>
    <t>Value per minute per passenger (work time)</t>
  </si>
  <si>
    <t>Value per minute (mixed lane)</t>
  </si>
  <si>
    <t>Value per minute (next to mixed traffic)</t>
  </si>
  <si>
    <t>Value per minute per vehicle (50% with trailer, 50% without)</t>
  </si>
  <si>
    <t>Property damage per collision</t>
  </si>
  <si>
    <t>Fatalities</t>
  </si>
  <si>
    <t>Property damage</t>
  </si>
  <si>
    <t>Serious injuries</t>
  </si>
  <si>
    <t>Slight injuries</t>
  </si>
  <si>
    <t>Number of serious injuries per year</t>
  </si>
  <si>
    <t>Number of slight injuries per year</t>
  </si>
  <si>
    <t>Traffic safety (fatalities)</t>
  </si>
  <si>
    <t>Traffic safety (serious injuries)</t>
  </si>
  <si>
    <t>Traffic safety (slight injuries)</t>
  </si>
  <si>
    <t>Traffic safety (property damage)</t>
  </si>
  <si>
    <t>Per-visit expenditure on local shops</t>
  </si>
  <si>
    <t>Total expenditure on local shops per month</t>
  </si>
  <si>
    <t>Total revenue of local shops per month</t>
  </si>
  <si>
    <t>Air pollution (PM10)</t>
  </si>
  <si>
    <t>Air pollution (PM2.5)</t>
  </si>
  <si>
    <t>Source: https://ec.europa.eu/environment/air/quality/standards.htm</t>
  </si>
  <si>
    <t>Option1</t>
  </si>
  <si>
    <t>Option2</t>
  </si>
  <si>
    <t>LAeq16h(dB(A))</t>
  </si>
  <si>
    <t>Roaduser</t>
  </si>
  <si>
    <t>Performanceindicator</t>
  </si>
  <si>
    <t>Institution
(ifinofficialguidance)</t>
  </si>
  <si>
    <t>Originalresearch</t>
  </si>
  <si>
    <t>Buspassenger</t>
  </si>
  <si>
    <t>Datasources</t>
  </si>
  <si>
    <t>Originalvalue</t>
  </si>
  <si>
    <t>Wardmanetal</t>
  </si>
  <si>
    <t>Performanceindicators</t>
  </si>
  <si>
    <t>Score*Weight</t>
  </si>
  <si>
    <t>Nodata</t>
  </si>
  <si>
    <t>Sweden per person per year</t>
  </si>
  <si>
    <t>1db(A) (LAeq16h) per person</t>
  </si>
  <si>
    <t>1db(A) per person</t>
  </si>
  <si>
    <t>Length (metres)</t>
  </si>
  <si>
    <t>Option 0
(Do nothing)</t>
  </si>
  <si>
    <t>Allocated road width (metres)</t>
  </si>
  <si>
    <t>Micromobility (scooters, skates,etc.)</t>
  </si>
  <si>
    <t>Traffic safety (seriousinjuries)</t>
  </si>
  <si>
    <t>Average travel time at network level (minutes)</t>
  </si>
  <si>
    <t>Average peak travel time (minutes)</t>
  </si>
  <si>
    <t>Average peak travel time at network level (minutes)</t>
  </si>
  <si>
    <t>GENERAL INPUTS: Wider impacts</t>
  </si>
  <si>
    <t>Air pollution (No2)</t>
  </si>
  <si>
    <t>Number of indicators
for which option is best</t>
  </si>
  <si>
    <t>No</t>
  </si>
  <si>
    <t>Peak-time flow (vehicles or pedestrians per hour)</t>
  </si>
  <si>
    <t>Flow (vehicles or pedestrians per hour)</t>
  </si>
  <si>
    <t>Additiona inputs: monetary unit values</t>
  </si>
  <si>
    <t>Space for place activities (stalls, benches, cafes, etc.)</t>
  </si>
  <si>
    <t>Total road width (metres)</t>
  </si>
  <si>
    <t>Car share (number of spaces)</t>
  </si>
  <si>
    <t>Bus stops (total area, in m2)</t>
  </si>
  <si>
    <t>Dedicated loading bays (number)</t>
  </si>
  <si>
    <t>Cycle parking (number of spaces)</t>
  </si>
  <si>
    <t>Cycle rent (docks) (number of cycles)</t>
  </si>
  <si>
    <t>Cycle rent (dockless) (number of cycles)</t>
  </si>
  <si>
    <t>Number of spaces</t>
  </si>
  <si>
    <t>Value of fatality avoided</t>
  </si>
  <si>
    <t>Value of serious casualty avoided</t>
  </si>
  <si>
    <t>Value of slight casualty avoided</t>
  </si>
  <si>
    <t>Value of property damages</t>
  </si>
  <si>
    <t>Value of community severance</t>
  </si>
  <si>
    <t>Value of Co2 emissions</t>
  </si>
  <si>
    <t>Value of air pollution</t>
  </si>
  <si>
    <t>Value of noise</t>
  </si>
  <si>
    <t>PM2.5 health cost (£/person/ug/m3)</t>
  </si>
  <si>
    <t>PM10 health cost (£/person/ug/m3)</t>
  </si>
  <si>
    <t>Design (extra value of time)</t>
  </si>
  <si>
    <t>Segregated bus lane</t>
  </si>
  <si>
    <t>Segregated cycle lane</t>
  </si>
  <si>
    <t>Non-segregated cycle lane</t>
  </si>
  <si>
    <t>Wide cycle lane</t>
  </si>
  <si>
    <t>Shared lane bus-cyclists</t>
  </si>
  <si>
    <t>Value of parking time (bicycles)</t>
  </si>
  <si>
    <t>Value of parking time (cars)</t>
  </si>
  <si>
    <t>Value of stopping time</t>
  </si>
  <si>
    <t>Value of car share</t>
  </si>
  <si>
    <t>Value of bus stopping</t>
  </si>
  <si>
    <t>Value of loading</t>
  </si>
  <si>
    <t>Value of people-based activities</t>
  </si>
  <si>
    <t>Value of increased safety (fatalities)</t>
  </si>
  <si>
    <t>Value of increased safety (serious casualities)</t>
  </si>
  <si>
    <t>Value of increased safety (slight casualties)</t>
  </si>
  <si>
    <t>Value of increased safety (property damage)</t>
  </si>
  <si>
    <t>Value of personal security</t>
  </si>
  <si>
    <t>Value of physical activity increase</t>
  </si>
  <si>
    <t>Value of social interaction</t>
  </si>
  <si>
    <t>Value of inclusive design</t>
  </si>
  <si>
    <t>Value of wellbeing</t>
  </si>
  <si>
    <t>Value of green space</t>
  </si>
  <si>
    <t>Value of air pollution (PM10)</t>
  </si>
  <si>
    <t>Value of air pollution (PM2.5)</t>
  </si>
  <si>
    <t>Value of air pollution (No2)</t>
  </si>
  <si>
    <t>Value of impacts on soil and water</t>
  </si>
  <si>
    <t>Value of impacts on local climate</t>
  </si>
  <si>
    <t>Value of energy consumption</t>
  </si>
  <si>
    <t>Institution
(if in official guidance)</t>
  </si>
  <si>
    <t>Original research</t>
  </si>
  <si>
    <t>Car driver or passenger</t>
  </si>
  <si>
    <t>Goods vehicle</t>
  </si>
  <si>
    <t>Choice over using built-in monetary unit values or own values</t>
  </si>
  <si>
    <t>Unit monetary values, when the user does not choose to use built-in unit values</t>
  </si>
  <si>
    <t>Monetary values of changes in performance indicators for all options, or, if monetisation is not possible, the change in the indicators</t>
  </si>
  <si>
    <t>Total monetary value and cost-benefit ratio of the monetised changes</t>
  </si>
  <si>
    <t>This page contains the output of the impact assessment module. No further user input is needed. Cells in this page cannot be edited</t>
  </si>
  <si>
    <t>Not acceptable: violates the specified political criteria</t>
  </si>
  <si>
    <t>Not acceptable: violates legal standards or best practice</t>
  </si>
  <si>
    <t>Choose from the dropdown menus the degree of priority of each road use</t>
  </si>
  <si>
    <t>Choose any number of objectives</t>
  </si>
  <si>
    <t>Can be worse off than now, if needed</t>
  </si>
  <si>
    <t>Should not be worse off than now</t>
  </si>
  <si>
    <t>Should be better off than now</t>
  </si>
  <si>
    <r>
      <t>INPUTS (PTA</t>
    </r>
    <r>
      <rPr>
        <b/>
        <i/>
        <sz val="10"/>
        <color theme="1"/>
        <rFont val="Calibri"/>
        <family val="2"/>
        <scheme val="minor"/>
      </rPr>
      <t xml:space="preserve">in </t>
    </r>
    <r>
      <rPr>
        <b/>
        <sz val="10"/>
        <color theme="1"/>
        <rFont val="Calibri"/>
        <family val="2"/>
        <scheme val="minor"/>
      </rPr>
      <t>page</t>
    </r>
    <r>
      <rPr>
        <b/>
        <sz val="14"/>
        <color theme="1"/>
        <rFont val="Calibri"/>
        <family val="2"/>
        <scheme val="minor"/>
      </rPr>
      <t>)</t>
    </r>
  </si>
  <si>
    <r>
      <t>OUTPUT (PTA</t>
    </r>
    <r>
      <rPr>
        <b/>
        <i/>
        <sz val="12"/>
        <color theme="1"/>
        <rFont val="Calibri"/>
        <family val="2"/>
        <scheme val="minor"/>
      </rPr>
      <t xml:space="preserve">out </t>
    </r>
    <r>
      <rPr>
        <b/>
        <sz val="12"/>
        <color theme="1"/>
        <rFont val="Calibri"/>
        <family val="2"/>
        <scheme val="minor"/>
      </rPr>
      <t>page</t>
    </r>
    <r>
      <rPr>
        <b/>
        <sz val="14"/>
        <color theme="1"/>
        <rFont val="Calibri"/>
        <family val="2"/>
        <scheme val="minor"/>
      </rPr>
      <t>)</t>
    </r>
  </si>
  <si>
    <t>Values of performance indicators for all options</t>
  </si>
  <si>
    <t>Then, fill the values of those indicators</t>
  </si>
  <si>
    <t>Then, fill the values of those indicators for each type of activity</t>
  </si>
  <si>
    <t>Then, fill in the values of those indicators for each transport mode</t>
  </si>
  <si>
    <t>Delays (multiplier of value of time)</t>
  </si>
  <si>
    <t>Bus passenger</t>
  </si>
  <si>
    <t>Money unit</t>
  </si>
  <si>
    <t>Now (do nothing)</t>
  </si>
  <si>
    <t>Changes</t>
  </si>
  <si>
    <t>Monetised changes</t>
  </si>
  <si>
    <t>Average travel time (minutes)</t>
  </si>
  <si>
    <t>Unit money value</t>
  </si>
  <si>
    <t>Number of years over which to estimate benefits</t>
  </si>
  <si>
    <t>Travel time reliability</t>
  </si>
  <si>
    <t>Congestion / overcrowding
 (multiplier of value of travel time)</t>
  </si>
  <si>
    <t>Congestion (multiplier of travel time)</t>
  </si>
  <si>
    <t>Delays (multiplier of travel times)</t>
  </si>
  <si>
    <t>Value of road design</t>
  </si>
  <si>
    <t>Multiplier of travel time savings, per 1 standard deviation of travel time</t>
  </si>
  <si>
    <t>Detailed Cost-Benefit Analysis</t>
  </si>
  <si>
    <t>Synthesis of Cost-Benefit Analysis</t>
  </si>
  <si>
    <t>Benefit-cost ratio</t>
  </si>
  <si>
    <t>Option 0</t>
  </si>
  <si>
    <t>Dedicated space (yes/no)</t>
  </si>
  <si>
    <t>Width available (dedicated space)</t>
  </si>
  <si>
    <t>Rents (commercial), per m2/month</t>
  </si>
  <si>
    <t>Fill the values below. If left blank, the indicator will not be included in the analysis</t>
  </si>
  <si>
    <t>Multiplier of travel time savings for congested conditions</t>
  </si>
  <si>
    <t>Multiplier of travel time savings for delays</t>
  </si>
  <si>
    <t>Average delay (minutes/vehicle)</t>
  </si>
  <si>
    <t>Average delay (minutes/vehicle) at network level</t>
  </si>
  <si>
    <t>Average delay stopped (minutes)</t>
  </si>
  <si>
    <t>Average delay stopped (minutes) at network level</t>
  </si>
  <si>
    <t>% of unsatisfied users</t>
  </si>
  <si>
    <t>% of dissatisfied users</t>
  </si>
  <si>
    <t>Average delay waiting times (minutes/vehicle)</t>
  </si>
  <si>
    <t>Standard deviation of travel time</t>
  </si>
  <si>
    <t>Standard deviation of travel time (network level)</t>
  </si>
  <si>
    <t>Time travelling in congested conditions (minutes)</t>
  </si>
  <si>
    <t>Value of existence of dedicated space per minute of travel time</t>
  </si>
  <si>
    <t>No dedicated space</t>
  </si>
  <si>
    <t>Segregated track</t>
  </si>
  <si>
    <t>Unsegregated lane</t>
  </si>
  <si>
    <r>
      <t xml:space="preserve">Press the </t>
    </r>
    <r>
      <rPr>
        <i/>
        <sz val="11"/>
        <color rgb="FFC00000"/>
        <rFont val="Webdings"/>
        <family val="1"/>
        <charset val="2"/>
      </rPr>
      <t>i</t>
    </r>
    <r>
      <rPr>
        <i/>
        <sz val="11"/>
        <color rgb="FFC00000"/>
        <rFont val="Calibri"/>
        <family val="2"/>
        <scheme val="minor"/>
      </rPr>
      <t xml:space="preserve"> symbol for further information on some items.</t>
    </r>
  </si>
  <si>
    <t>Index</t>
  </si>
  <si>
    <t>Wide</t>
  </si>
  <si>
    <t>Low</t>
  </si>
  <si>
    <t>Narrow</t>
  </si>
  <si>
    <t>Lanes</t>
  </si>
  <si>
    <t>Medium</t>
  </si>
  <si>
    <t>High</t>
  </si>
  <si>
    <t>CR</t>
  </si>
  <si>
    <t>Traffic</t>
  </si>
  <si>
    <t>Specific uses</t>
  </si>
  <si>
    <t>Value (£)</t>
  </si>
  <si>
    <t>Inflator</t>
  </si>
  <si>
    <t>Value in 2021 £</t>
  </si>
  <si>
    <t>Value in 2021</t>
  </si>
  <si>
    <t>Sumproduct of value of crossings</t>
  </si>
  <si>
    <t>UCL Severance index</t>
  </si>
  <si>
    <t>Green space (m2)</t>
  </si>
  <si>
    <t>(Do nothing)</t>
  </si>
  <si>
    <t>Area of green space (m2)</t>
  </si>
  <si>
    <t>UCL Severance Index</t>
  </si>
  <si>
    <t xml:space="preserve"> </t>
  </si>
  <si>
    <t>Non-linear</t>
  </si>
  <si>
    <t>Monetary value associated with change in UCL severance index</t>
  </si>
  <si>
    <t>Monetary value associated with change in dB(A)</t>
  </si>
  <si>
    <t>Exchange rate 7 Aug 2021</t>
  </si>
  <si>
    <t>Mean of short distance business and non-business trips, Sweden</t>
  </si>
  <si>
    <t>UK</t>
  </si>
  <si>
    <t>Car occupancy</t>
  </si>
  <si>
    <t>Persons per household</t>
  </si>
  <si>
    <t>NO2 health cost (£/person/ug/m3/year)</t>
  </si>
  <si>
    <t>PM2.5 health cost (£/person/ug/m3/year)</t>
  </si>
  <si>
    <t>UK per person</t>
  </si>
  <si>
    <t>FURTHER INFORMATION</t>
  </si>
  <si>
    <t>Inputs: Wider impacts (economic, social, environmental)</t>
  </si>
  <si>
    <t>purple font</t>
  </si>
  <si>
    <t>Not acceptable: violates the specified political criteria and legal standards or best practice</t>
  </si>
  <si>
    <r>
      <t>INPUTS (CBA</t>
    </r>
    <r>
      <rPr>
        <b/>
        <vertAlign val="subscript"/>
        <sz val="14"/>
        <color theme="1"/>
        <rFont val="Calibri"/>
        <family val="2"/>
        <scheme val="minor"/>
      </rPr>
      <t>in</t>
    </r>
    <r>
      <rPr>
        <b/>
        <sz val="14"/>
        <color theme="1"/>
        <rFont val="Calibri"/>
        <family val="2"/>
        <scheme val="minor"/>
      </rPr>
      <t xml:space="preserve"> page)</t>
    </r>
  </si>
  <si>
    <r>
      <t>OUTPUT (CBA</t>
    </r>
    <r>
      <rPr>
        <b/>
        <vertAlign val="subscript"/>
        <sz val="14"/>
        <color theme="1"/>
        <rFont val="Calibri"/>
        <family val="2"/>
        <scheme val="minor"/>
      </rPr>
      <t>out</t>
    </r>
    <r>
      <rPr>
        <b/>
        <sz val="14"/>
        <color theme="1"/>
        <rFont val="Calibri"/>
        <family val="2"/>
        <scheme val="minor"/>
      </rPr>
      <t xml:space="preserve"> page)</t>
    </r>
  </si>
  <si>
    <t>Built-in values are stored in a hidden page and cannot be changed.</t>
  </si>
  <si>
    <r>
      <t>INPUTS (MCA</t>
    </r>
    <r>
      <rPr>
        <b/>
        <i/>
        <sz val="12"/>
        <color theme="1"/>
        <rFont val="Calibri"/>
        <family val="2"/>
        <scheme val="minor"/>
      </rPr>
      <t xml:space="preserve">in </t>
    </r>
    <r>
      <rPr>
        <b/>
        <sz val="12"/>
        <color theme="1"/>
        <rFont val="Calibri"/>
        <family val="2"/>
        <scheme val="minor"/>
      </rPr>
      <t>page</t>
    </r>
    <r>
      <rPr>
        <b/>
        <sz val="14"/>
        <color theme="1"/>
        <rFont val="Calibri"/>
        <family val="2"/>
        <scheme val="minor"/>
      </rPr>
      <t>)</t>
    </r>
  </si>
  <si>
    <t>The tool provides three appraisal methods:</t>
  </si>
  <si>
    <t>Based on political priorities (inputted by the tool user), legal standards, and best design practice</t>
  </si>
  <si>
    <t>Based on the monetary value of the impacts of the options on road users and broader objectives</t>
  </si>
  <si>
    <t>Based on the scales for each indicator (inputted by the tool user) and the degree of importance that stakeholders attach to each road use and objective</t>
  </si>
  <si>
    <r>
      <t xml:space="preserve">This tool was developed as a part of MORE (Multi-modal Optimization of Roadspace in Europe), a research project funded by the European Union under the Horizon 2010 framework. The project ran from September 2018 to February 2022. For further information about the project see </t>
    </r>
    <r>
      <rPr>
        <u/>
        <sz val="11"/>
        <color rgb="FF002060"/>
        <rFont val="Calibri"/>
        <family val="2"/>
        <scheme val="minor"/>
      </rPr>
      <t>www.roadspace.eu</t>
    </r>
  </si>
  <si>
    <t>Please contact:</t>
  </si>
  <si>
    <r>
      <t xml:space="preserve">The tool is divided into 4 modules. In the first part, the user fills in general inputs. The three analysis modules (Political/Technical Assessment, Cost-Benefit Analysis, and Multi-Criteria Analysis) use those general inputs plus additional inputs. The three analysis modules can be run independently. The first tab of each of the 3 analysis modules (PTA, </t>
    </r>
    <r>
      <rPr>
        <i/>
        <sz val="11"/>
        <color theme="1"/>
        <rFont val="Calibri"/>
        <family val="2"/>
        <scheme val="minor"/>
      </rPr>
      <t>CBA</t>
    </r>
    <r>
      <rPr>
        <sz val="11"/>
        <color theme="1"/>
        <rFont val="Calibri"/>
        <family val="2"/>
        <scheme val="minor"/>
      </rPr>
      <t xml:space="preserve">, and </t>
    </r>
    <r>
      <rPr>
        <i/>
        <sz val="11"/>
        <color theme="1"/>
        <rFont val="Calibri"/>
        <family val="2"/>
        <scheme val="minor"/>
      </rPr>
      <t>MCA</t>
    </r>
    <r>
      <rPr>
        <sz val="11"/>
        <color theme="1"/>
        <rFont val="Calibri"/>
        <family val="2"/>
        <scheme val="minor"/>
      </rPr>
      <t>) include information on the contents of the module and instructions on how to use it.</t>
    </r>
  </si>
  <si>
    <t>Some calculations use built-in values, located in hidden pages. These pages are locked. The tool user can define their own values, overriding the built-in values.</t>
  </si>
  <si>
    <r>
      <rPr>
        <sz val="11"/>
        <color theme="1"/>
        <rFont val="Calibri"/>
        <family val="2"/>
      </rPr>
      <t xml:space="preserve">Some of the items in the inputs pages have an </t>
    </r>
    <r>
      <rPr>
        <sz val="11"/>
        <color theme="1"/>
        <rFont val="Webdings"/>
        <family val="1"/>
        <charset val="2"/>
      </rPr>
      <t xml:space="preserve">i </t>
    </r>
    <r>
      <rPr>
        <sz val="11"/>
        <color theme="1"/>
        <rFont val="Calibri"/>
        <family val="2"/>
      </rPr>
      <t>symbol. Hover the mouse over the red point next to the symbol for more information about the item</t>
    </r>
  </si>
  <si>
    <t>I2</t>
  </si>
  <si>
    <t>I1</t>
  </si>
  <si>
    <t>I3</t>
  </si>
  <si>
    <t>I4</t>
  </si>
  <si>
    <t>Instructions</t>
  </si>
  <si>
    <t>Input</t>
  </si>
  <si>
    <t>Option code</t>
  </si>
  <si>
    <t>Transport mode</t>
  </si>
  <si>
    <t>GENERAL LEGEND</t>
  </si>
  <si>
    <t>Copied from another cell or page. It can only be changed by changing the original value</t>
  </si>
  <si>
    <t>HOW TO USE THE TOOL</t>
  </si>
  <si>
    <t>GENERAL INSTRUCTIONS</t>
  </si>
  <si>
    <t>This tool performs an appraisal of options for the reallocation of roadspace among users. It compares the performance of each option considering the movement and place function of roads, and broader economic, social, and environmental objectives</t>
  </si>
  <si>
    <t>Fill only the fields for which information is available. The tool can be run with minimal input data. However, in many cases, leaving a cell blank means that the analysis will not take into account other inputted datain the final results</t>
  </si>
  <si>
    <t>Road segment and area</t>
  </si>
  <si>
    <t>Name of road segment</t>
  </si>
  <si>
    <t>The scores are copied from a hidden page, which contains all the calculations.</t>
  </si>
  <si>
    <t>! Caution. Value obtained in a country other than the country where the road is located</t>
  </si>
  <si>
    <t>Choose indicators of number, duration, and quality of vehicle-based and place-based place activities along the chosen road segment</t>
  </si>
  <si>
    <t>Two-stage or staggered signalised crossings</t>
  </si>
  <si>
    <r>
      <t xml:space="preserve">Type of cycle infrastructure </t>
    </r>
    <r>
      <rPr>
        <i/>
        <sz val="11"/>
        <color rgb="FFC00000"/>
        <rFont val="Calibri"/>
        <family val="2"/>
        <scheme val="minor"/>
      </rPr>
      <t>(choose from menu)</t>
    </r>
  </si>
  <si>
    <r>
      <t xml:space="preserve">Median strip </t>
    </r>
    <r>
      <rPr>
        <i/>
        <sz val="11"/>
        <color rgb="FFC00000"/>
        <rFont val="Calibri"/>
        <family val="2"/>
        <scheme val="minor"/>
      </rPr>
      <t>(choose from menu)</t>
    </r>
  </si>
  <si>
    <t>Choose from dropdown menus or fill in information</t>
  </si>
  <si>
    <t>Then, for each option for space reallocation, insert the estimated costs, the approximate average road width allocated to each design elements along the road segment, and information about pedestrian crossings, other design elements, and specific road uses</t>
  </si>
  <si>
    <t>Fill only the cells with grey background. Do not change any of the other cells</t>
  </si>
  <si>
    <t>!!!!! Options need to be identified by their MORE ID number !!!!! 
          The tool will not consider any data on options that do not have an ID number in Row 34 of this page
          If code of Option 0 is not inserted, then the tool will produce no results at all</t>
  </si>
  <si>
    <t>Calculated from another cell or page. It can only be changed by changing other cells</t>
  </si>
  <si>
    <t>Copied from another cell. It can only be changed by changing the original cell</t>
  </si>
  <si>
    <t>Pedestrian crossing facilities</t>
  </si>
  <si>
    <t>Fill number of facilities along the road segment, including the extreme points of the segment. Blank spaces are treated as 0</t>
  </si>
  <si>
    <t>Average approximate width along the road segment. Blank spaces are treated as 0 metres</t>
  </si>
  <si>
    <r>
      <t xml:space="preserve">Micromobility (scooters, skates,etc.) 
</t>
    </r>
    <r>
      <rPr>
        <i/>
        <sz val="11"/>
        <color rgb="FFC00000"/>
        <rFont val="Calibri"/>
        <family val="2"/>
        <scheme val="minor"/>
      </rPr>
      <t>Choose legal status, from menu</t>
    </r>
  </si>
  <si>
    <t>Choose indicators of traffic volume, speed, travel time, delays, travel time reliability, and trip quality</t>
  </si>
  <si>
    <t>For Option 0 (Do nothing), the values should be based on real-world data collection (e.g. video surveys, questionnaires), modeling, or other sources. For the other options, the values should come from modelling (with PTV Vissim) or other sources</t>
  </si>
  <si>
    <t>A maximum of 6 options can be compared. A minimum of 2 options is required (Option 0 and another one). Option 0 represents the "do nothing" option, i.e. no changes to the current design). All options need to have been modelled in PTV Vissim. The tool can be run several times, comparing options for different road segments, or for different times of day or different scenarios in the same road segment</t>
  </si>
  <si>
    <t>First, fill in information about the road segment and the adjacent area. Country and currency will be filled automatically. If no information is inputted for length and number of residents, some impacts will not be calculated</t>
  </si>
  <si>
    <t>Insert values of the indicator chosen above, for each option. Blanks will be treated as missing data, not as 0</t>
  </si>
  <si>
    <t>Data can be for the chosen road segment or the whole road network. Choose the indicator in Row 24 accordingly</t>
  </si>
  <si>
    <t>Data cells under the indicator name can also be left blank if information is not available. In this case, the tool will not use data for the respective indicator, even if data is filled for other options</t>
  </si>
  <si>
    <r>
      <t xml:space="preserve">Indicator
</t>
    </r>
    <r>
      <rPr>
        <i/>
        <sz val="11"/>
        <color rgb="FFC00000"/>
        <rFont val="Calibri"/>
        <family val="2"/>
        <scheme val="minor"/>
      </rPr>
      <t>Choose from dropdown menu</t>
    </r>
  </si>
  <si>
    <r>
      <t xml:space="preserve">Fill in indicator, if "Other" is chosen
(after reading the note next to the </t>
    </r>
    <r>
      <rPr>
        <i/>
        <sz val="11"/>
        <color rgb="FFC00000"/>
        <rFont val="Webdings"/>
        <family val="1"/>
        <charset val="2"/>
      </rPr>
      <t>i</t>
    </r>
    <r>
      <rPr>
        <i/>
        <sz val="11"/>
        <color rgb="FFC00000"/>
        <rFont val="Calibri"/>
        <family val="2"/>
        <scheme val="minor"/>
      </rPr>
      <t xml:space="preserve"> symbol)</t>
    </r>
  </si>
  <si>
    <t>Data can be for the chosen road segment or the whole road network. Choose the indicator in Row 25 accordingly</t>
  </si>
  <si>
    <t>The cells with the indicator names in Rows 24 and 25 can be left blank. In this case, the tool will not consider any data that might be filled below those cells</t>
  </si>
  <si>
    <t>Severance table from Anciaes and Jones 2020</t>
  </si>
  <si>
    <t>Calculation of severance along the chosen road segment</t>
  </si>
  <si>
    <t>Monetary value (£)</t>
  </si>
  <si>
    <t>Number of crossings</t>
  </si>
  <si>
    <t>Monetary value of severance of road (£)</t>
  </si>
  <si>
    <t>Severance code</t>
  </si>
  <si>
    <t>Severance of road</t>
  </si>
  <si>
    <t>Sumproduct of severance of crossings</t>
  </si>
  <si>
    <t>standard_pm10</t>
  </si>
  <si>
    <t>standard_pm2</t>
  </si>
  <si>
    <t>standard_no2</t>
  </si>
  <si>
    <t>cities_data</t>
  </si>
  <si>
    <t>cities</t>
  </si>
  <si>
    <t>comsev_table</t>
  </si>
  <si>
    <t>comsev_values</t>
  </si>
  <si>
    <t>LISTS</t>
  </si>
  <si>
    <t>PLACE (I3)</t>
  </si>
  <si>
    <t>Vehicle: number</t>
  </si>
  <si>
    <t>Vehicle: duration</t>
  </si>
  <si>
    <t>Vehicle: quality</t>
  </si>
  <si>
    <t>Person: number</t>
  </si>
  <si>
    <t>Person: duration</t>
  </si>
  <si>
    <t>Person: quality</t>
  </si>
  <si>
    <t>DESIGN (I1)</t>
  </si>
  <si>
    <t>list1_cycle</t>
  </si>
  <si>
    <t>list1_micro</t>
  </si>
  <si>
    <t>LINK (I2)</t>
  </si>
  <si>
    <t>list2_volume</t>
  </si>
  <si>
    <t>list2_speed</t>
  </si>
  <si>
    <t>list2_reliability</t>
  </si>
  <si>
    <t>list2_tripquality</t>
  </si>
  <si>
    <t>list2_delay</t>
  </si>
  <si>
    <t>list2_traveltime</t>
  </si>
  <si>
    <t>list3_vehicle_number</t>
  </si>
  <si>
    <t>list3_vehicle_duration</t>
  </si>
  <si>
    <t>list3_vehicle_quality</t>
  </si>
  <si>
    <t>list3_person_number</t>
  </si>
  <si>
    <t>list3_person_duration</t>
  </si>
  <si>
    <t>list3_person_quality</t>
  </si>
  <si>
    <t>WIDER - ECONOMIC (I4)</t>
  </si>
  <si>
    <t>list4_transportcosts</t>
  </si>
  <si>
    <t>list4_propertyvalues</t>
  </si>
  <si>
    <t>list4_visitsbusinesses</t>
  </si>
  <si>
    <t>WIDER - SOCIAL (I4)</t>
  </si>
  <si>
    <t>WIDER - ENVIRONMENTAL (I4)</t>
  </si>
  <si>
    <t>list4_expenditure</t>
  </si>
  <si>
    <t>list4_fatalities</t>
  </si>
  <si>
    <t>list4_serious</t>
  </si>
  <si>
    <t>list4_slight</t>
  </si>
  <si>
    <t>list4_damage</t>
  </si>
  <si>
    <t>list4_severance</t>
  </si>
  <si>
    <t>list4_security</t>
  </si>
  <si>
    <t>list4_physicalactivity</t>
  </si>
  <si>
    <t>list4_interaction</t>
  </si>
  <si>
    <t>list4_green</t>
  </si>
  <si>
    <t>list4_pm10</t>
  </si>
  <si>
    <t>list4_pm2</t>
  </si>
  <si>
    <t>list4_no2</t>
  </si>
  <si>
    <t>list4_noise</t>
  </si>
  <si>
    <t>list4_soilwater</t>
  </si>
  <si>
    <t>list4_climate</t>
  </si>
  <si>
    <t>list4_energy</t>
  </si>
  <si>
    <t>list4_co2</t>
  </si>
  <si>
    <t>priorities_pol</t>
  </si>
  <si>
    <t>MCAimportance</t>
  </si>
  <si>
    <t>Political priorities (PTAin)</t>
  </si>
  <si>
    <t>MCA importance (MCAin)</t>
  </si>
  <si>
    <t>Fill in indicator, if you chose "Other" in Column G</t>
  </si>
  <si>
    <t>Choose indicators for the economic, social, and environmental impacts of the different options in Column G or choose other and fill in the indicator name in Column I</t>
  </si>
  <si>
    <t>The cells with the indicator names in Column G and I can be left blank. In this case, the tool will not consider any data that might be filled to the right</t>
  </si>
  <si>
    <t>Data cells to the right of the indicator name can also be left blank if information is not available. In this case, the tool will not use data for the respective indicator, even if data is filled for other options</t>
  </si>
  <si>
    <t>The cells with the indicator names in Rows 25/26 and 41/42 can be left blank. In this case, the tool will not consider any data that might be filled below those cells</t>
  </si>
  <si>
    <t>% residents achieving minimum required levels of physical activity</t>
  </si>
  <si>
    <t>Error messages</t>
  </si>
  <si>
    <t>Data can be for the chosen road segment or the whole road network. Choose the indicator in Column G accordingly</t>
  </si>
  <si>
    <t>comsev0</t>
  </si>
  <si>
    <t>comsev1</t>
  </si>
  <si>
    <t>comsev2</t>
  </si>
  <si>
    <t>comsev3</t>
  </si>
  <si>
    <t>comsev4</t>
  </si>
  <si>
    <t>comsev5</t>
  </si>
  <si>
    <t>This module compares the performance of options for roadspace allocation for all indicators and identifies options that violate political priorities inputted by the tool user and environmental or design standards</t>
  </si>
  <si>
    <t>Degree of political priority attached to each road use</t>
  </si>
  <si>
    <t>Degree of political priority attached to each policy objective</t>
  </si>
  <si>
    <t>For each performance indicator: the best option and unacceptable options (based on political criteria and legal/best practice standards)</t>
  </si>
  <si>
    <t>Indicate the degree of political priority attached to each road use and objectives of roadspace allocation</t>
  </si>
  <si>
    <t>Road uses</t>
  </si>
  <si>
    <t>Tick the check boxes of the objectives the intervention aims to achieve</t>
  </si>
  <si>
    <t>standard_cycle</t>
  </si>
  <si>
    <t>standard_noise</t>
  </si>
  <si>
    <t>standard_place</t>
  </si>
  <si>
    <t>standard_ped</t>
  </si>
  <si>
    <t>standard_bus</t>
  </si>
  <si>
    <t>standard_load</t>
  </si>
  <si>
    <t>standard_busstop</t>
  </si>
  <si>
    <t>standard_carparkstop</t>
  </si>
  <si>
    <t>standard_car</t>
  </si>
  <si>
    <t>db(A)</t>
  </si>
  <si>
    <t>Built-in values are stored in a hidden page and cannot be changed. Standards are as follows:</t>
  </si>
  <si>
    <t>Noise levels (db(A))</t>
  </si>
  <si>
    <t>Width for parking (m)</t>
  </si>
  <si>
    <t>Width for bus stops (m)</t>
  </si>
  <si>
    <t>Width for loading (m)</t>
  </si>
  <si>
    <t>Width for place activities (m)</t>
  </si>
  <si>
    <t>NACTO DESIGN STANDARDS (2 directions)</t>
  </si>
  <si>
    <t>NACTO DESIGN STANDARDS</t>
  </si>
  <si>
    <t>Width for pedestrians (m)</t>
  </si>
  <si>
    <t>Width for cyclists (m)</t>
  </si>
  <si>
    <t>Width for cars (m)</t>
  </si>
  <si>
    <t>Width for buses (m)</t>
  </si>
  <si>
    <t>EU ENVIRONMENTAL STANDARDS</t>
  </si>
  <si>
    <t>Yearly PM10 mean concentration (µg/m3)</t>
  </si>
  <si>
    <t>Yearly PM2.5 mean concentration (µg/m3)</t>
  </si>
  <si>
    <t>Yearly NO2 mean concentration (µg/m3)</t>
  </si>
  <si>
    <t>Provision for pedestrians with disabilities</t>
  </si>
  <si>
    <t>Pedestrians with disabilities - provision on pavements (e.g. tactile pavement)</t>
  </si>
  <si>
    <t>Pedestrians with disabilities - provision at crossings (e.g. tactile pavement, sound)</t>
  </si>
  <si>
    <t>Best value should be LOWER than worst</t>
  </si>
  <si>
    <t>Best value should be HIGHER than worst</t>
  </si>
  <si>
    <t>Level of the indicator</t>
  </si>
  <si>
    <t>These values are copied or calculated from the I1-I4 pages</t>
  </si>
  <si>
    <t>Value copied from the Inputs page. It cannot be changed in this page</t>
  </si>
  <si>
    <t>Value calculated from the Inputs pages. It cannot be changed in this page</t>
  </si>
  <si>
    <t xml:space="preserve">Information can  be copied from the inputs filled in the MORE Policy Interventions tool
</t>
  </si>
  <si>
    <t>The page shows the value of each performance indicator for all options Some values are direcly copied from user input in other pages. Other cells are calculated from user input.</t>
  </si>
  <si>
    <t>The tool compares the values of each option with the other options and assesses the values against a built-in list of standards and best practice values, and against the political criteria specified by the user in the previous page. Cells are then automatically highlighted with one of the 4 colours below</t>
  </si>
  <si>
    <t>PM10 (network level) (ug/m3)</t>
  </si>
  <si>
    <t>PM2.5 (network level) (ug/m3)</t>
  </si>
  <si>
    <t>No2 (network level) (ug/m3)</t>
  </si>
  <si>
    <t>CONSTANTS</t>
  </si>
  <si>
    <t>Co2 emissions (ton)</t>
  </si>
  <si>
    <t>This module assesses options for roadspace allocation in terms of their monetary value, based on changes in performance indicators and their monetisation (using built-in monetary unit values from previous studies or the tool user's specified values). Only some of the indicators are monetised</t>
  </si>
  <si>
    <t>Börjesson and Eliasson</t>
  </si>
  <si>
    <t>No source. Insert your own value in columns O-P or leave blank</t>
  </si>
  <si>
    <t>Messages</t>
  </si>
  <si>
    <t>COST-BENEFIT ANALYSIS INPUT: MONETARY UNIT VALUES</t>
  </si>
  <si>
    <t>Data source</t>
  </si>
  <si>
    <t>Monetary unit</t>
  </si>
  <si>
    <t>Choose from dropdown menus in Column F the data source of monetary unit values (from the tool's built-in values) OR type a new unit and respective unit value in columns O-P</t>
  </si>
  <si>
    <t>If a new unit is specified in Columns O, it needs to be compatible with the indicator previously defined in pages I2-I4. Messages will appear in Column Q reminding the user of the requirements for the unit</t>
  </si>
  <si>
    <t>If a new unit and unit value are specified in Columns O-P, they will override the choice made in the menus in Column F</t>
  </si>
  <si>
    <t>The page shows the monetary and non-monetary values of each performance indicator for all option</t>
  </si>
  <si>
    <t>Number of years to estimate benefits of road design</t>
  </si>
  <si>
    <t>Average number of activities/hour</t>
  </si>
  <si>
    <t>Total number of vehicles that used the space per hour</t>
  </si>
  <si>
    <t>Total number of passengers that used the space per hour</t>
  </si>
  <si>
    <t>Total value of parking fees per hour</t>
  </si>
  <si>
    <t>This module assesses options for roadspace allocation in terms of the priorities attached to different performance indicators by experts or stakeholders</t>
  </si>
  <si>
    <t>Degree of priority of each indicator, inputted by the tool user and based on information provided by experts or stakeholders</t>
  </si>
  <si>
    <t>Value copied from hidden page. It cannot be changed in this page</t>
  </si>
  <si>
    <t>Current value</t>
  </si>
  <si>
    <t>Monetary unit values are values that are multiplied by performance indicators to calculate the total benefit or cost associated with those indicators</t>
  </si>
  <si>
    <t>It is possible to choose data sources of a different country. The value is automatically converted to the currency used in the city being analysed</t>
  </si>
  <si>
    <t>Insert a unit in Column O (e.g. "value per minute", "value per activity", etc.) and then insert the value in Column P. This will override any choice made in  Column F</t>
  </si>
  <si>
    <t>Choose data source from dropdown menus below
OR insert a new  unit in Column O and the respective unit value in Column P</t>
  </si>
  <si>
    <t>Value per minute per passenger (work time) (25% HGV, 75 %HGV)</t>
  </si>
  <si>
    <t>MULTI-CRITERIA ANALYSIS INPUTS: SCALE AND WEIGHTS</t>
  </si>
  <si>
    <t>Choose the worst and the best possible value for each indicator in columns O-P. In some cases, the indicator has a natural best/worst value which is already inserted in the cell and cannot be changed</t>
  </si>
  <si>
    <t>Then insert the name of each assessor and choose from the dropdown menus the degree of importance the assessors attach to each indicator in columns R-Y</t>
  </si>
  <si>
    <t>Insert name of each assessor in row 19 and then choose level of importance of each indicator from the dropdown menus
Blank: no importance; 1: some importance, 2: medium importance; 3: highest priority</t>
  </si>
</sst>
</file>

<file path=xl/styles.xml><?xml version="1.0" encoding="utf-8"?>
<styleSheet xmlns="http://schemas.openxmlformats.org/spreadsheetml/2006/main">
  <numFmts count="18">
    <numFmt numFmtId="43" formatCode="_-* #,##0.00_-;\-* #,##0.00_-;_-* &quot;-&quot;??_-;_-@_-"/>
    <numFmt numFmtId="164" formatCode="[$€-2]\ #,##0.00"/>
    <numFmt numFmtId="165" formatCode="[$€-2]\ #,##0.0"/>
    <numFmt numFmtId="166" formatCode="[$€-2]\ #,##0"/>
    <numFmt numFmtId="167" formatCode="#,##0\ [$€-1];[Red]\-#,##0\ [$€-1]"/>
    <numFmt numFmtId="168" formatCode="0.0"/>
    <numFmt numFmtId="169" formatCode="&quot;£&quot;#,##0.00"/>
    <numFmt numFmtId="170" formatCode="&quot;£&quot;#,##0"/>
    <numFmt numFmtId="171" formatCode="[$€-2]\ #,##0.00;[Red]\-[$€-2]\ #,##0.00"/>
    <numFmt numFmtId="172" formatCode="#,##0_ ;\-#,##0\ "/>
    <numFmt numFmtId="173" formatCode="[$SEK]\ #,##0.00"/>
    <numFmt numFmtId="174" formatCode="[$SEK]\ #,##0"/>
    <numFmt numFmtId="175" formatCode="_-* #,##0_-;\-* #,##0_-;_-* &quot;-&quot;??_-;_-@_-"/>
    <numFmt numFmtId="176" formatCode="0.000"/>
    <numFmt numFmtId="177" formatCode="&quot;£&quot;#,##0.0"/>
    <numFmt numFmtId="178" formatCode="[$SEK]\ #,##0.0"/>
    <numFmt numFmtId="179" formatCode="[$HUF]\ #,##0"/>
    <numFmt numFmtId="180" formatCode="[$RON]\ #,##0.0"/>
  </numFmts>
  <fonts count="11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0"/>
      <name val="Calibri"/>
      <family val="2"/>
    </font>
    <font>
      <b/>
      <u/>
      <sz val="11"/>
      <color theme="1"/>
      <name val="Calibri"/>
      <family val="2"/>
      <scheme val="minor"/>
    </font>
    <font>
      <sz val="10"/>
      <name val="Arial"/>
      <family val="2"/>
    </font>
    <font>
      <sz val="11"/>
      <color theme="1"/>
      <name val="Arial"/>
      <family val="2"/>
    </font>
    <font>
      <b/>
      <sz val="23"/>
      <color theme="1"/>
      <name val="Arial"/>
      <family val="2"/>
    </font>
    <font>
      <b/>
      <sz val="12"/>
      <color theme="1"/>
      <name val="Calibri"/>
      <family val="2"/>
      <scheme val="minor"/>
    </font>
    <font>
      <sz val="16"/>
      <color theme="1"/>
      <name val="Calibri"/>
      <family val="2"/>
      <scheme val="minor"/>
    </font>
    <font>
      <u/>
      <sz val="16"/>
      <color theme="1"/>
      <name val="Calibri"/>
      <family val="2"/>
      <scheme val="minor"/>
    </font>
    <font>
      <b/>
      <sz val="22"/>
      <color theme="0"/>
      <name val="Calibri"/>
      <family val="2"/>
      <scheme val="minor"/>
    </font>
    <font>
      <b/>
      <sz val="23"/>
      <color theme="1"/>
      <name val="Calibri"/>
      <family val="2"/>
      <scheme val="minor"/>
    </font>
    <font>
      <b/>
      <sz val="14"/>
      <color theme="1"/>
      <name val="Calibri"/>
      <family val="2"/>
      <scheme val="minor"/>
    </font>
    <font>
      <u/>
      <sz val="11"/>
      <color theme="3"/>
      <name val="Calibri"/>
      <family val="2"/>
      <scheme val="minor"/>
    </font>
    <font>
      <b/>
      <sz val="18"/>
      <color theme="0"/>
      <name val="Calibri"/>
      <family val="2"/>
      <scheme val="minor"/>
    </font>
    <font>
      <b/>
      <sz val="13"/>
      <color theme="1"/>
      <name val="Calibri"/>
      <family val="2"/>
      <scheme val="minor"/>
    </font>
    <font>
      <sz val="10.5"/>
      <color theme="1"/>
      <name val="Calibri"/>
      <family val="2"/>
      <scheme val="minor"/>
    </font>
    <font>
      <b/>
      <sz val="10"/>
      <color theme="1"/>
      <name val="Calibri"/>
      <family val="2"/>
      <scheme val="minor"/>
    </font>
    <font>
      <i/>
      <sz val="11"/>
      <color rgb="FFC00000"/>
      <name val="Calibri"/>
      <family val="2"/>
      <scheme val="minor"/>
    </font>
    <font>
      <b/>
      <sz val="22"/>
      <name val="Calibri"/>
      <family val="2"/>
      <scheme val="minor"/>
    </font>
    <font>
      <b/>
      <sz val="14"/>
      <name val="Calibri"/>
      <family val="2"/>
      <scheme val="minor"/>
    </font>
    <font>
      <b/>
      <sz val="13"/>
      <name val="Calibri"/>
      <family val="2"/>
      <scheme val="minor"/>
    </font>
    <font>
      <i/>
      <sz val="10"/>
      <color rgb="FFC00000"/>
      <name val="Calibri"/>
      <family val="2"/>
      <scheme val="minor"/>
    </font>
    <font>
      <b/>
      <sz val="11"/>
      <name val="Calibri"/>
      <family val="2"/>
      <scheme val="minor"/>
    </font>
    <font>
      <sz val="11"/>
      <color rgb="FFC00000"/>
      <name val="Calibri"/>
      <family val="2"/>
      <scheme val="minor"/>
    </font>
    <font>
      <b/>
      <sz val="18"/>
      <name val="Calibri"/>
      <family val="2"/>
      <scheme val="minor"/>
    </font>
    <font>
      <u/>
      <sz val="11"/>
      <color theme="1"/>
      <name val="Calibri"/>
      <family val="2"/>
      <scheme val="minor"/>
    </font>
    <font>
      <i/>
      <sz val="11"/>
      <color theme="1"/>
      <name val="Calibri"/>
      <family val="2"/>
      <scheme val="minor"/>
    </font>
    <font>
      <b/>
      <u/>
      <sz val="11"/>
      <color rgb="FF0070C0"/>
      <name val="Calibri"/>
      <family val="2"/>
      <scheme val="minor"/>
    </font>
    <font>
      <u/>
      <sz val="11"/>
      <color rgb="FF002060"/>
      <name val="Calibri"/>
      <family val="2"/>
      <scheme val="minor"/>
    </font>
    <font>
      <b/>
      <sz val="11"/>
      <color rgb="FFFF0000"/>
      <name val="Calibri"/>
      <family val="2"/>
      <scheme val="minor"/>
    </font>
    <font>
      <sz val="13"/>
      <color theme="1"/>
      <name val="Calibri"/>
      <family val="2"/>
      <scheme val="minor"/>
    </font>
    <font>
      <sz val="13"/>
      <color rgb="FF245BA7"/>
      <name val="Calibri"/>
      <family val="2"/>
      <scheme val="minor"/>
    </font>
    <font>
      <sz val="13"/>
      <color rgb="FFFF0000"/>
      <name val="Calibri"/>
      <family val="2"/>
      <scheme val="minor"/>
    </font>
    <font>
      <sz val="11"/>
      <color rgb="FF245BA7"/>
      <name val="Calibri"/>
      <family val="2"/>
      <scheme val="minor"/>
    </font>
    <font>
      <sz val="11"/>
      <color theme="1"/>
      <name val="Webdings"/>
      <family val="1"/>
      <charset val="2"/>
    </font>
    <font>
      <sz val="11"/>
      <color theme="1"/>
      <name val="Calibri"/>
      <family val="2"/>
    </font>
    <font>
      <sz val="10"/>
      <color theme="1"/>
      <name val="Webdings"/>
      <family val="1"/>
      <charset val="2"/>
    </font>
    <font>
      <sz val="11"/>
      <color rgb="FFC00000"/>
      <name val="Wingdings 2"/>
      <family val="1"/>
      <charset val="2"/>
    </font>
    <font>
      <sz val="11"/>
      <color theme="0" tint="-0.14999847407452621"/>
      <name val="Wingdings 2"/>
      <family val="1"/>
      <charset val="2"/>
    </font>
    <font>
      <sz val="11"/>
      <color rgb="FF0070C0"/>
      <name val="Calibri"/>
      <family val="2"/>
      <scheme val="minor"/>
    </font>
    <font>
      <sz val="11"/>
      <color rgb="FF00AF3D"/>
      <name val="Wingdings 2"/>
      <family val="1"/>
      <charset val="2"/>
    </font>
    <font>
      <sz val="12"/>
      <color theme="1"/>
      <name val="Calibri"/>
      <family val="2"/>
      <scheme val="minor"/>
    </font>
    <font>
      <i/>
      <sz val="13"/>
      <color theme="1"/>
      <name val="Calibri"/>
      <family val="2"/>
      <scheme val="minor"/>
    </font>
    <font>
      <i/>
      <sz val="13"/>
      <color rgb="FF245BA7"/>
      <name val="Calibri"/>
      <family val="2"/>
      <scheme val="minor"/>
    </font>
    <font>
      <i/>
      <sz val="11"/>
      <color rgb="FF245BA7"/>
      <name val="Calibri"/>
      <family val="2"/>
      <scheme val="minor"/>
    </font>
    <font>
      <sz val="11"/>
      <color rgb="FF000000"/>
      <name val="Calibri"/>
      <family val="2"/>
    </font>
    <font>
      <b/>
      <i/>
      <sz val="12"/>
      <color theme="1"/>
      <name val="Calibri"/>
      <family val="2"/>
      <scheme val="minor"/>
    </font>
    <font>
      <b/>
      <i/>
      <sz val="10"/>
      <color theme="1"/>
      <name val="Calibri"/>
      <family val="2"/>
      <scheme val="minor"/>
    </font>
    <font>
      <sz val="12"/>
      <color rgb="FF245BA7"/>
      <name val="Calibri"/>
      <family val="2"/>
      <scheme val="minor"/>
    </font>
    <font>
      <b/>
      <sz val="14.5"/>
      <color theme="1"/>
      <name val="Calibri"/>
      <family val="2"/>
      <scheme val="minor"/>
    </font>
    <font>
      <sz val="11"/>
      <color rgb="FFE51935"/>
      <name val="Wingdings 2"/>
      <family val="1"/>
      <charset val="2"/>
    </font>
    <font>
      <sz val="11"/>
      <color rgb="FF245BA7"/>
      <name val="Wingdings 2"/>
      <family val="1"/>
      <charset val="2"/>
    </font>
    <font>
      <b/>
      <i/>
      <sz val="11"/>
      <color theme="1"/>
      <name val="Calibri"/>
      <family val="2"/>
      <scheme val="minor"/>
    </font>
    <font>
      <sz val="8"/>
      <name val="Calibri"/>
      <family val="2"/>
      <scheme val="minor"/>
    </font>
    <font>
      <b/>
      <sz val="13"/>
      <color rgb="FFFF0000"/>
      <name val="Calibri"/>
      <family val="2"/>
      <scheme val="minor"/>
    </font>
    <font>
      <u/>
      <sz val="16"/>
      <color rgb="FFFF0000"/>
      <name val="Calibri"/>
      <family val="2"/>
      <scheme val="minor"/>
    </font>
    <font>
      <sz val="11"/>
      <color theme="1"/>
      <name val="Calibri"/>
      <family val="2"/>
      <scheme val="minor"/>
    </font>
    <font>
      <b/>
      <sz val="18"/>
      <color theme="1"/>
      <name val="Calibri"/>
      <family val="2"/>
      <scheme val="minor"/>
    </font>
    <font>
      <sz val="13"/>
      <name val="Calibri"/>
      <family val="2"/>
      <scheme val="minor"/>
    </font>
    <font>
      <i/>
      <sz val="13"/>
      <color rgb="FF0070C0"/>
      <name val="Calibri"/>
      <family val="2"/>
      <scheme val="minor"/>
    </font>
    <font>
      <b/>
      <sz val="13"/>
      <color rgb="FF245BA7"/>
      <name val="Calibri"/>
      <family val="2"/>
      <scheme val="minor"/>
    </font>
    <font>
      <sz val="9"/>
      <color indexed="81"/>
      <name val="Tahoma"/>
      <family val="2"/>
    </font>
    <font>
      <b/>
      <sz val="12"/>
      <color rgb="FF245BA7"/>
      <name val="Calibri"/>
      <family val="2"/>
      <scheme val="minor"/>
    </font>
    <font>
      <u/>
      <sz val="16"/>
      <color rgb="FF245BA7"/>
      <name val="Calibri"/>
      <family val="2"/>
      <scheme val="minor"/>
    </font>
    <font>
      <sz val="11"/>
      <color theme="0"/>
      <name val="Calibri"/>
      <family val="2"/>
      <scheme val="minor"/>
    </font>
    <font>
      <sz val="8"/>
      <color theme="0"/>
      <name val="Calibri"/>
      <family val="2"/>
      <scheme val="minor"/>
    </font>
    <font>
      <i/>
      <sz val="10"/>
      <color theme="1"/>
      <name val="Calibri"/>
      <family val="2"/>
      <scheme val="minor"/>
    </font>
    <font>
      <sz val="10"/>
      <color rgb="FF245BA7"/>
      <name val="Calibri"/>
      <family val="2"/>
      <scheme val="minor"/>
    </font>
    <font>
      <i/>
      <sz val="10"/>
      <color rgb="FF245BA7"/>
      <name val="Calibri"/>
      <family val="2"/>
      <scheme val="minor"/>
    </font>
    <font>
      <b/>
      <i/>
      <sz val="10"/>
      <color rgb="FF245BA7"/>
      <name val="Calibri"/>
      <family val="2"/>
      <scheme val="minor"/>
    </font>
    <font>
      <b/>
      <sz val="11"/>
      <color theme="0"/>
      <name val="Calibri"/>
      <family val="2"/>
      <scheme val="minor"/>
    </font>
    <font>
      <sz val="13"/>
      <color rgb="FF7030A0"/>
      <name val="Calibri"/>
      <family val="2"/>
      <scheme val="minor"/>
    </font>
    <font>
      <sz val="8"/>
      <color rgb="FF7030A0"/>
      <name val="Calibri"/>
      <family val="2"/>
      <scheme val="minor"/>
    </font>
    <font>
      <b/>
      <sz val="13"/>
      <color rgb="FF7030A0"/>
      <name val="Calibri"/>
      <family val="2"/>
      <scheme val="minor"/>
    </font>
    <font>
      <sz val="11"/>
      <color rgb="FF7030A0"/>
      <name val="Calibri"/>
      <family val="2"/>
      <scheme val="minor"/>
    </font>
    <font>
      <b/>
      <sz val="12"/>
      <color rgb="FF7030A0"/>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sz val="10"/>
      <color theme="1"/>
      <name val="Calibri"/>
      <family val="2"/>
      <scheme val="minor"/>
    </font>
    <font>
      <b/>
      <sz val="10"/>
      <color theme="0"/>
      <name val="Calibri"/>
      <family val="2"/>
      <scheme val="minor"/>
    </font>
    <font>
      <b/>
      <sz val="10"/>
      <color rgb="FF245BA7"/>
      <name val="Calibri"/>
      <family val="2"/>
      <scheme val="minor"/>
    </font>
    <font>
      <sz val="9"/>
      <color theme="1"/>
      <name val="Calibri"/>
      <family val="2"/>
      <scheme val="minor"/>
    </font>
    <font>
      <b/>
      <sz val="9"/>
      <color theme="0"/>
      <name val="Calibri"/>
      <family val="2"/>
      <scheme val="minor"/>
    </font>
    <font>
      <b/>
      <sz val="9"/>
      <name val="Calibri"/>
      <family val="2"/>
      <scheme val="minor"/>
    </font>
    <font>
      <b/>
      <sz val="9"/>
      <color theme="1"/>
      <name val="Calibri"/>
      <family val="2"/>
      <scheme val="minor"/>
    </font>
    <font>
      <i/>
      <sz val="9"/>
      <color rgb="FFC00000"/>
      <name val="Calibri"/>
      <family val="2"/>
      <scheme val="minor"/>
    </font>
    <font>
      <sz val="9"/>
      <color rgb="FFC00000"/>
      <name val="Calibri"/>
      <family val="2"/>
      <scheme val="minor"/>
    </font>
    <font>
      <i/>
      <sz val="11"/>
      <color rgb="FFC00000"/>
      <name val="Webdings"/>
      <family val="1"/>
      <charset val="2"/>
    </font>
    <font>
      <b/>
      <sz val="13"/>
      <color rgb="FFC00000"/>
      <name val="Calibri"/>
      <family val="2"/>
      <scheme val="minor"/>
    </font>
    <font>
      <u/>
      <sz val="16"/>
      <color rgb="FFC00000"/>
      <name val="Calibri"/>
      <family val="2"/>
      <scheme val="minor"/>
    </font>
    <font>
      <b/>
      <sz val="9"/>
      <color rgb="FFC00000"/>
      <name val="Calibri"/>
      <family val="2"/>
      <scheme val="minor"/>
    </font>
    <font>
      <sz val="11"/>
      <name val="Calibri"/>
      <family val="2"/>
      <scheme val="minor"/>
    </font>
    <font>
      <i/>
      <sz val="9"/>
      <color theme="1"/>
      <name val="Calibri"/>
      <family val="2"/>
      <scheme val="minor"/>
    </font>
    <font>
      <sz val="9"/>
      <name val="Calibri"/>
      <family val="2"/>
      <scheme val="minor"/>
    </font>
    <font>
      <sz val="9"/>
      <color rgb="FF245BA7"/>
      <name val="Calibri"/>
      <family val="2"/>
      <scheme val="minor"/>
    </font>
    <font>
      <b/>
      <sz val="9"/>
      <color rgb="FF245BA7"/>
      <name val="Calibri"/>
      <family val="2"/>
      <scheme val="minor"/>
    </font>
    <font>
      <i/>
      <sz val="9"/>
      <name val="Calibri"/>
      <family val="2"/>
      <scheme val="minor"/>
    </font>
    <font>
      <i/>
      <sz val="11"/>
      <color rgb="FF7030A0"/>
      <name val="Calibri"/>
      <family val="2"/>
      <scheme val="minor"/>
    </font>
    <font>
      <b/>
      <vertAlign val="subscript"/>
      <sz val="14"/>
      <color theme="1"/>
      <name val="Calibri"/>
      <family val="2"/>
      <scheme val="minor"/>
    </font>
    <font>
      <b/>
      <sz val="9"/>
      <color rgb="FF7030A0"/>
      <name val="Calibri"/>
      <family val="2"/>
      <scheme val="minor"/>
    </font>
    <font>
      <sz val="9"/>
      <color rgb="FF7030A0"/>
      <name val="Calibri"/>
      <family val="2"/>
      <scheme val="minor"/>
    </font>
    <font>
      <b/>
      <i/>
      <sz val="11"/>
      <name val="Calibri"/>
      <family val="2"/>
      <scheme val="minor"/>
    </font>
    <font>
      <sz val="9"/>
      <color rgb="FFFF0000"/>
      <name val="Calibri"/>
      <family val="2"/>
      <scheme val="minor"/>
    </font>
    <font>
      <b/>
      <sz val="9"/>
      <color rgb="FFFF0000"/>
      <name val="Calibri"/>
      <family val="2"/>
      <scheme val="minor"/>
    </font>
    <font>
      <sz val="9"/>
      <color rgb="FFC00000"/>
      <name val="Wingdings 2"/>
      <family val="1"/>
      <charset val="2"/>
    </font>
    <font>
      <i/>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245BA7"/>
        <bgColor indexed="64"/>
      </patternFill>
    </fill>
    <fill>
      <patternFill patternType="solid">
        <fgColor rgb="FFFFFF00"/>
        <bgColor indexed="64"/>
      </patternFill>
    </fill>
    <fill>
      <patternFill patternType="solid">
        <fgColor rgb="FF00AF3D"/>
        <bgColor indexed="64"/>
      </patternFill>
    </fill>
    <fill>
      <patternFill patternType="solid">
        <fgColor rgb="FFE51935"/>
        <bgColor indexed="64"/>
      </patternFill>
    </fill>
    <fill>
      <patternFill patternType="solid">
        <fgColor theme="9" tint="0.79998168889431442"/>
        <bgColor indexed="64"/>
      </patternFill>
    </fill>
    <fill>
      <patternFill patternType="solid">
        <fgColor rgb="FFFFFF64"/>
        <bgColor indexed="64"/>
      </patternFill>
    </fill>
    <fill>
      <patternFill patternType="solid">
        <fgColor theme="2"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theme="0" tint="-0.499984740745262"/>
      </right>
      <top/>
      <bottom/>
      <diagonal/>
    </border>
    <border>
      <left/>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C00000"/>
      </bottom>
      <diagonal/>
    </border>
  </borders>
  <cellStyleXfs count="7">
    <xf numFmtId="0" fontId="0" fillId="0" borderId="0"/>
    <xf numFmtId="0" fontId="4"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9" fontId="7" fillId="0" borderId="0" applyFont="0" applyFill="0" applyBorder="0" applyAlignment="0" applyProtection="0"/>
    <xf numFmtId="43" fontId="59" fillId="0" borderId="0" applyFont="0" applyFill="0" applyBorder="0" applyAlignment="0" applyProtection="0"/>
    <xf numFmtId="9" fontId="59" fillId="0" borderId="0" applyFont="0" applyFill="0" applyBorder="0" applyAlignment="0" applyProtection="0"/>
  </cellStyleXfs>
  <cellXfs count="1108">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4" fillId="2" borderId="0" xfId="1" applyFill="1" applyBorder="1" applyAlignment="1" applyProtection="1"/>
    <xf numFmtId="0" fontId="5" fillId="2" borderId="0" xfId="0" applyFont="1" applyFill="1" applyBorder="1" applyAlignment="1">
      <alignment horizontal="center"/>
    </xf>
    <xf numFmtId="0" fontId="2"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xf numFmtId="0" fontId="8" fillId="2" borderId="0" xfId="0" applyFont="1" applyFill="1" applyBorder="1" applyAlignment="1">
      <alignment horizontal="center"/>
    </xf>
    <xf numFmtId="0" fontId="0" fillId="0" borderId="0" xfId="0" applyFill="1" applyBorder="1" applyAlignment="1">
      <alignment horizontal="left" vertical="center"/>
    </xf>
    <xf numFmtId="0" fontId="3" fillId="2" borderId="5" xfId="0" applyFont="1" applyFill="1" applyBorder="1" applyAlignment="1">
      <alignment horizontal="center" vertical="center"/>
    </xf>
    <xf numFmtId="0" fontId="5" fillId="2" borderId="5" xfId="0" applyFont="1" applyFill="1" applyBorder="1" applyAlignment="1">
      <alignment horizontal="center"/>
    </xf>
    <xf numFmtId="0" fontId="8" fillId="2" borderId="4" xfId="0" applyFont="1" applyFill="1" applyBorder="1" applyAlignment="1">
      <alignment horizontal="center"/>
    </xf>
    <xf numFmtId="0" fontId="2" fillId="2" borderId="4" xfId="0" applyFont="1" applyFill="1" applyBorder="1"/>
    <xf numFmtId="0" fontId="3" fillId="2" borderId="4" xfId="0" applyFont="1" applyFill="1" applyBorder="1" applyAlignment="1">
      <alignment horizontal="center" vertical="center"/>
    </xf>
    <xf numFmtId="0" fontId="5" fillId="2" borderId="4" xfId="0" applyFont="1" applyFill="1" applyBorder="1" applyAlignment="1">
      <alignment horizontal="center"/>
    </xf>
    <xf numFmtId="0" fontId="0" fillId="2" borderId="0" xfId="0" applyFont="1" applyFill="1" applyBorder="1" applyAlignment="1">
      <alignment horizontal="left" vertical="center"/>
    </xf>
    <xf numFmtId="0" fontId="10"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2" fillId="2" borderId="4" xfId="0" applyFont="1" applyFill="1" applyBorder="1" applyAlignment="1">
      <alignment vertical="center"/>
    </xf>
    <xf numFmtId="0" fontId="0" fillId="2" borderId="5" xfId="0" applyFont="1" applyFill="1" applyBorder="1" applyAlignment="1">
      <alignment vertical="center"/>
    </xf>
    <xf numFmtId="0" fontId="13" fillId="2" borderId="4" xfId="0" applyFont="1" applyFill="1" applyBorder="1" applyAlignment="1">
      <alignment horizontal="center" vertical="center"/>
    </xf>
    <xf numFmtId="0" fontId="0" fillId="2" borderId="4" xfId="0" applyFont="1" applyFill="1" applyBorder="1" applyAlignment="1">
      <alignment vertical="center"/>
    </xf>
    <xf numFmtId="0" fontId="5" fillId="2" borderId="4" xfId="0" applyFont="1" applyFill="1" applyBorder="1" applyAlignment="1">
      <alignment horizontal="center" vertical="center"/>
    </xf>
    <xf numFmtId="0" fontId="11" fillId="2" borderId="0" xfId="0" applyFont="1" applyFill="1" applyBorder="1" applyAlignment="1">
      <alignment horizontal="left" vertical="center"/>
    </xf>
    <xf numFmtId="0" fontId="5" fillId="2" borderId="5" xfId="0" applyFont="1" applyFill="1" applyBorder="1" applyAlignment="1">
      <alignment horizontal="center"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0" fillId="2" borderId="0" xfId="0" applyFont="1" applyFill="1" applyBorder="1" applyAlignment="1">
      <alignment vertical="center" wrapText="1"/>
    </xf>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0" fillId="2" borderId="0" xfId="0" applyFill="1" applyBorder="1" applyAlignment="1">
      <alignment vertical="center"/>
    </xf>
    <xf numFmtId="0" fontId="17" fillId="2" borderId="0" xfId="0" applyFont="1" applyFill="1" applyBorder="1" applyAlignment="1">
      <alignment horizontal="left" vertical="center"/>
    </xf>
    <xf numFmtId="0" fontId="18" fillId="2" borderId="0" xfId="0" applyFont="1" applyFill="1" applyBorder="1" applyAlignment="1">
      <alignment horizontal="left" vertical="top"/>
    </xf>
    <xf numFmtId="0" fontId="0" fillId="0" borderId="0" xfId="0" applyFont="1" applyFill="1" applyBorder="1" applyAlignment="1">
      <alignment horizontal="left" vertical="top"/>
    </xf>
    <xf numFmtId="0" fontId="9" fillId="2" borderId="0" xfId="0" applyFont="1" applyFill="1" applyAlignment="1">
      <alignment horizontal="left" vertical="center" wrapText="1"/>
    </xf>
    <xf numFmtId="0" fontId="17" fillId="2" borderId="0" xfId="0" applyFont="1" applyFill="1" applyBorder="1" applyAlignment="1">
      <alignment horizontal="center" vertical="center"/>
    </xf>
    <xf numFmtId="0" fontId="2" fillId="2" borderId="13" xfId="0" applyFont="1" applyFill="1" applyBorder="1"/>
    <xf numFmtId="0" fontId="0" fillId="2" borderId="13" xfId="0" applyFill="1" applyBorder="1"/>
    <xf numFmtId="0" fontId="0" fillId="2" borderId="16" xfId="0" applyFill="1" applyBorder="1" applyAlignment="1">
      <alignment vertical="center"/>
    </xf>
    <xf numFmtId="0" fontId="10" fillId="2" borderId="9" xfId="0" applyFont="1" applyFill="1" applyBorder="1" applyAlignment="1">
      <alignment horizontal="left" vertical="center"/>
    </xf>
    <xf numFmtId="0" fontId="17" fillId="2" borderId="16" xfId="0" applyFont="1" applyFill="1" applyBorder="1" applyAlignment="1">
      <alignment horizontal="left" vertical="center"/>
    </xf>
    <xf numFmtId="0" fontId="0" fillId="2" borderId="10" xfId="0" applyFont="1" applyFill="1" applyBorder="1" applyAlignment="1">
      <alignment vertical="center"/>
    </xf>
    <xf numFmtId="0" fontId="10" fillId="2" borderId="10" xfId="0" applyFont="1" applyFill="1" applyBorder="1" applyAlignment="1">
      <alignment horizontal="left" vertical="center"/>
    </xf>
    <xf numFmtId="0" fontId="10" fillId="2" borderId="18" xfId="0" applyFont="1" applyFill="1" applyBorder="1" applyAlignment="1">
      <alignment horizontal="left" vertical="center"/>
    </xf>
    <xf numFmtId="0" fontId="17" fillId="2" borderId="0" xfId="0" applyFont="1" applyFill="1" applyAlignment="1">
      <alignment horizontal="left" vertical="center"/>
    </xf>
    <xf numFmtId="0" fontId="20" fillId="2" borderId="0" xfId="0" applyFont="1" applyFill="1" applyBorder="1" applyAlignment="1">
      <alignment vertical="center"/>
    </xf>
    <xf numFmtId="0" fontId="20" fillId="2" borderId="10" xfId="0" applyFont="1" applyFill="1" applyBorder="1" applyAlignment="1">
      <alignment vertical="center"/>
    </xf>
    <xf numFmtId="0" fontId="17" fillId="2" borderId="0" xfId="0" applyFont="1" applyFill="1" applyBorder="1" applyAlignment="1">
      <alignment vertical="center"/>
    </xf>
    <xf numFmtId="0" fontId="21"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0" fillId="2" borderId="16" xfId="0" applyFont="1" applyFill="1" applyBorder="1" applyAlignment="1">
      <alignment vertical="center"/>
    </xf>
    <xf numFmtId="0" fontId="22" fillId="3" borderId="14" xfId="0" applyFont="1" applyFill="1" applyBorder="1" applyAlignment="1">
      <alignment horizontal="left" vertical="center"/>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3" fillId="2" borderId="0" xfId="0" applyFont="1" applyFill="1" applyAlignment="1">
      <alignment horizontal="left" vertical="center"/>
    </xf>
    <xf numFmtId="0" fontId="0" fillId="2" borderId="19" xfId="0" applyFont="1" applyFill="1" applyBorder="1" applyAlignment="1">
      <alignment vertical="center"/>
    </xf>
    <xf numFmtId="0" fontId="17" fillId="2" borderId="10" xfId="0" applyFont="1" applyFill="1" applyBorder="1" applyAlignment="1">
      <alignment horizontal="center"/>
    </xf>
    <xf numFmtId="0" fontId="17" fillId="2" borderId="10" xfId="0" applyFont="1" applyFill="1" applyBorder="1" applyAlignment="1">
      <alignment horizontal="center" wrapText="1"/>
    </xf>
    <xf numFmtId="0" fontId="17" fillId="2" borderId="0" xfId="0" applyFont="1" applyFill="1" applyBorder="1" applyAlignment="1">
      <alignment horizontal="center"/>
    </xf>
    <xf numFmtId="0" fontId="0" fillId="2" borderId="20" xfId="0" applyFill="1" applyBorder="1"/>
    <xf numFmtId="0" fontId="0" fillId="4" borderId="16" xfId="0" applyFill="1" applyBorder="1" applyAlignment="1">
      <alignment horizontal="left" vertical="center"/>
    </xf>
    <xf numFmtId="0" fontId="24" fillId="2" borderId="0" xfId="0" applyFont="1" applyFill="1" applyBorder="1" applyAlignment="1">
      <alignment vertical="center"/>
    </xf>
    <xf numFmtId="0" fontId="24" fillId="2" borderId="0" xfId="0" applyFont="1" applyFill="1" applyBorder="1" applyAlignment="1">
      <alignment horizontal="left" vertical="top" wrapText="1"/>
    </xf>
    <xf numFmtId="0" fontId="0" fillId="2" borderId="7" xfId="0" applyFont="1" applyFill="1" applyBorder="1" applyAlignment="1">
      <alignment vertical="center" wrapText="1"/>
    </xf>
    <xf numFmtId="0" fontId="24" fillId="2" borderId="0" xfId="0" applyFont="1" applyFill="1" applyBorder="1" applyAlignment="1">
      <alignment horizontal="left" vertical="center"/>
    </xf>
    <xf numFmtId="0" fontId="24" fillId="2" borderId="10" xfId="0" applyFont="1" applyFill="1" applyBorder="1" applyAlignment="1">
      <alignment vertical="center"/>
    </xf>
    <xf numFmtId="0" fontId="24" fillId="2" borderId="10" xfId="0" applyFont="1" applyFill="1" applyBorder="1" applyAlignment="1">
      <alignment horizontal="left" vertical="top" wrapText="1"/>
    </xf>
    <xf numFmtId="0" fontId="2" fillId="2" borderId="10" xfId="0" applyFont="1" applyFill="1" applyBorder="1" applyAlignment="1">
      <alignment horizontal="left" vertical="top"/>
    </xf>
    <xf numFmtId="0" fontId="3" fillId="2" borderId="10" xfId="0" applyFont="1" applyFill="1" applyBorder="1" applyAlignment="1">
      <alignment vertical="center"/>
    </xf>
    <xf numFmtId="0" fontId="2" fillId="2" borderId="10" xfId="0" applyFont="1" applyFill="1" applyBorder="1" applyAlignment="1">
      <alignment vertical="top"/>
    </xf>
    <xf numFmtId="0" fontId="10" fillId="2" borderId="10" xfId="0" applyFont="1" applyFill="1" applyBorder="1" applyAlignment="1">
      <alignment vertical="center"/>
    </xf>
    <xf numFmtId="0" fontId="2" fillId="2" borderId="0" xfId="0" applyFont="1" applyFill="1" applyBorder="1" applyAlignment="1">
      <alignment vertical="top"/>
    </xf>
    <xf numFmtId="0" fontId="10" fillId="2" borderId="0" xfId="0" applyFont="1" applyFill="1" applyBorder="1" applyAlignment="1">
      <alignment vertical="center"/>
    </xf>
    <xf numFmtId="0" fontId="0" fillId="2" borderId="10" xfId="0" applyFont="1" applyFill="1" applyBorder="1" applyAlignment="1">
      <alignment vertical="center" wrapText="1"/>
    </xf>
    <xf numFmtId="0" fontId="10" fillId="2" borderId="0" xfId="0" applyFont="1" applyFill="1" applyAlignment="1">
      <alignment vertical="center"/>
    </xf>
    <xf numFmtId="0" fontId="10" fillId="2" borderId="4" xfId="0" applyFont="1" applyFill="1" applyBorder="1" applyAlignment="1">
      <alignmen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top"/>
    </xf>
    <xf numFmtId="0" fontId="10" fillId="2" borderId="5" xfId="0" applyFont="1" applyFill="1" applyBorder="1" applyAlignment="1">
      <alignment vertical="center"/>
    </xf>
    <xf numFmtId="0" fontId="0" fillId="2" borderId="0" xfId="0" applyFont="1" applyFill="1" applyBorder="1" applyAlignment="1">
      <alignment horizontal="left" vertical="top"/>
    </xf>
    <xf numFmtId="0" fontId="22" fillId="5" borderId="14" xfId="0" applyFont="1" applyFill="1" applyBorder="1" applyAlignment="1">
      <alignment horizontal="left"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8"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 fillId="2" borderId="0" xfId="0" applyFont="1" applyFill="1" applyBorder="1" applyAlignment="1">
      <alignment horizontal="center" vertical="top"/>
    </xf>
    <xf numFmtId="0" fontId="26" fillId="2" borderId="0" xfId="0" applyFont="1" applyFill="1" applyBorder="1" applyAlignment="1">
      <alignment horizontal="left" vertical="center"/>
    </xf>
    <xf numFmtId="0" fontId="0"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13" xfId="0" applyFont="1" applyFill="1" applyBorder="1" applyAlignment="1">
      <alignment horizontal="center"/>
    </xf>
    <xf numFmtId="0" fontId="2" fillId="0" borderId="0" xfId="0" applyFont="1" applyFill="1" applyBorder="1" applyAlignment="1">
      <alignment horizontal="left" vertical="top"/>
    </xf>
    <xf numFmtId="0" fontId="0" fillId="3" borderId="0" xfId="0" applyFill="1" applyBorder="1" applyAlignment="1">
      <alignment horizontal="left"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lignment horizontal="center"/>
    </xf>
    <xf numFmtId="0" fontId="0" fillId="7" borderId="16" xfId="0" applyFill="1" applyBorder="1" applyAlignment="1">
      <alignment horizontal="left" vertical="center"/>
    </xf>
    <xf numFmtId="0" fontId="0" fillId="2" borderId="0" xfId="0" applyFill="1" applyBorder="1" applyAlignment="1">
      <alignment horizontal="left" vertical="center" wrapText="1"/>
    </xf>
    <xf numFmtId="0" fontId="0" fillId="2" borderId="10" xfId="0" applyFont="1" applyFill="1" applyBorder="1" applyAlignment="1">
      <alignment horizontal="left" vertical="top"/>
    </xf>
    <xf numFmtId="0" fontId="2" fillId="0" borderId="10" xfId="0" applyFont="1" applyFill="1" applyBorder="1" applyAlignment="1">
      <alignment horizontal="left" vertical="top"/>
    </xf>
    <xf numFmtId="0" fontId="2" fillId="2" borderId="0" xfId="0" applyFont="1" applyFill="1" applyBorder="1" applyAlignment="1">
      <alignment horizontal="center" vertical="center"/>
    </xf>
    <xf numFmtId="0" fontId="30" fillId="2" borderId="0" xfId="0" applyFont="1" applyFill="1" applyBorder="1" applyAlignment="1">
      <alignment horizontal="left" vertical="top"/>
    </xf>
    <xf numFmtId="0" fontId="27" fillId="7" borderId="21" xfId="0" applyFont="1" applyFill="1" applyBorder="1" applyAlignment="1">
      <alignment horizontal="left" vertical="center"/>
    </xf>
    <xf numFmtId="0" fontId="27" fillId="7" borderId="22" xfId="0" applyFont="1" applyFill="1" applyBorder="1" applyAlignment="1">
      <alignment horizontal="left" vertical="center"/>
    </xf>
    <xf numFmtId="0" fontId="27" fillId="7" borderId="23" xfId="0" applyFont="1" applyFill="1" applyBorder="1" applyAlignment="1">
      <alignment horizontal="left" vertical="center"/>
    </xf>
    <xf numFmtId="0" fontId="33" fillId="3" borderId="11" xfId="0" applyFont="1" applyFill="1" applyBorder="1" applyAlignment="1">
      <alignment horizontal="center" vertical="center" wrapText="1"/>
    </xf>
    <xf numFmtId="0" fontId="34" fillId="2" borderId="16" xfId="0" applyFont="1" applyFill="1" applyBorder="1" applyAlignment="1">
      <alignment horizontal="left" vertical="center"/>
    </xf>
    <xf numFmtId="0" fontId="36"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7" fillId="2" borderId="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 xfId="0" applyFont="1" applyFill="1" applyBorder="1" applyAlignment="1">
      <alignment horizontal="center" vertical="center"/>
    </xf>
    <xf numFmtId="0" fontId="0" fillId="3" borderId="0" xfId="0" applyFill="1" applyBorder="1" applyAlignment="1">
      <alignment horizontal="left" vertical="top"/>
    </xf>
    <xf numFmtId="0" fontId="0" fillId="2" borderId="0" xfId="0" applyFont="1" applyFill="1" applyAlignment="1">
      <alignment vertical="top"/>
    </xf>
    <xf numFmtId="0" fontId="0" fillId="2" borderId="5" xfId="0" applyFont="1" applyFill="1" applyBorder="1" applyAlignment="1">
      <alignment vertical="top"/>
    </xf>
    <xf numFmtId="0" fontId="0" fillId="2" borderId="0" xfId="0" applyFont="1" applyFill="1" applyBorder="1" applyAlignment="1">
      <alignment vertical="top"/>
    </xf>
    <xf numFmtId="0" fontId="0" fillId="2" borderId="24" xfId="0" applyFill="1" applyBorder="1" applyAlignment="1">
      <alignment horizontal="left" vertical="center"/>
    </xf>
    <xf numFmtId="0" fontId="17" fillId="2" borderId="4" xfId="0" applyFont="1" applyFill="1" applyBorder="1" applyAlignment="1">
      <alignment vertical="center"/>
    </xf>
    <xf numFmtId="0" fontId="32" fillId="2" borderId="0" xfId="0" applyFont="1" applyFill="1" applyBorder="1" applyAlignment="1">
      <alignment horizontal="center"/>
    </xf>
    <xf numFmtId="0" fontId="1" fillId="2" borderId="0" xfId="0" applyFont="1" applyFill="1" applyBorder="1" applyAlignment="1">
      <alignment horizontal="center"/>
    </xf>
    <xf numFmtId="0" fontId="20" fillId="2" borderId="16" xfId="0" applyNumberFormat="1" applyFont="1" applyFill="1" applyBorder="1" applyAlignment="1">
      <alignment horizontal="left" vertical="top" wrapText="1"/>
    </xf>
    <xf numFmtId="0" fontId="40" fillId="2" borderId="16"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4" xfId="0" applyFont="1" applyFill="1" applyBorder="1" applyAlignment="1">
      <alignment horizontal="left" vertical="top" wrapText="1"/>
    </xf>
    <xf numFmtId="0" fontId="26" fillId="2" borderId="0" xfId="0" applyFont="1" applyFill="1" applyBorder="1" applyAlignment="1">
      <alignment vertical="center"/>
    </xf>
    <xf numFmtId="0" fontId="36"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Alignment="1">
      <alignment vertical="center" wrapText="1"/>
    </xf>
    <xf numFmtId="0" fontId="0" fillId="3" borderId="24" xfId="0" applyFont="1" applyFill="1" applyBorder="1" applyAlignment="1">
      <alignment horizontal="left" vertical="center" wrapText="1"/>
    </xf>
    <xf numFmtId="0" fontId="0" fillId="3" borderId="24" xfId="0" applyFill="1" applyBorder="1" applyAlignment="1">
      <alignment horizontal="left" vertical="center" wrapText="1"/>
    </xf>
    <xf numFmtId="0" fontId="0" fillId="2" borderId="0" xfId="0" applyFont="1" applyFill="1" applyBorder="1" applyAlignment="1">
      <alignment horizontal="left" vertical="center" wrapText="1"/>
    </xf>
    <xf numFmtId="0" fontId="0" fillId="3" borderId="16" xfId="0" applyFill="1" applyBorder="1" applyAlignment="1">
      <alignment horizontal="left" vertical="center"/>
    </xf>
    <xf numFmtId="0" fontId="42" fillId="2" borderId="17" xfId="0" applyFont="1" applyFill="1" applyBorder="1" applyAlignment="1">
      <alignment vertical="center"/>
    </xf>
    <xf numFmtId="0" fontId="43" fillId="2" borderId="0" xfId="0" applyFont="1" applyFill="1" applyBorder="1" applyAlignment="1">
      <alignment horizontal="left" vertical="top" wrapText="1"/>
    </xf>
    <xf numFmtId="0" fontId="44" fillId="2" borderId="0" xfId="0" applyFont="1" applyFill="1" applyAlignment="1">
      <alignment vertical="center"/>
    </xf>
    <xf numFmtId="0" fontId="44" fillId="2" borderId="0" xfId="0" applyFont="1" applyFill="1" applyBorder="1" applyAlignment="1">
      <alignment vertical="center"/>
    </xf>
    <xf numFmtId="0" fontId="9" fillId="2" borderId="0" xfId="0" applyFont="1" applyFill="1" applyBorder="1" applyAlignment="1">
      <alignment horizontal="left" vertical="top"/>
    </xf>
    <xf numFmtId="0" fontId="44"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7" fillId="2" borderId="0" xfId="0" applyFont="1" applyFill="1" applyBorder="1" applyAlignment="1">
      <alignment horizontal="center" vertical="center"/>
    </xf>
    <xf numFmtId="3" fontId="0" fillId="3" borderId="0" xfId="0" applyNumberFormat="1" applyFont="1" applyFill="1" applyBorder="1" applyAlignment="1">
      <alignment horizontal="center" vertical="center" wrapText="1"/>
    </xf>
    <xf numFmtId="0" fontId="0" fillId="3" borderId="0" xfId="0" applyFill="1" applyBorder="1" applyAlignment="1">
      <alignment horizontal="center"/>
    </xf>
    <xf numFmtId="0" fontId="0" fillId="2" borderId="0" xfId="0" applyFill="1" applyBorder="1" applyAlignment="1">
      <alignment horizontal="center"/>
    </xf>
    <xf numFmtId="0" fontId="0" fillId="3" borderId="16" xfId="0" applyFont="1" applyFill="1" applyBorder="1" applyAlignment="1">
      <alignment vertical="center"/>
    </xf>
    <xf numFmtId="0" fontId="0" fillId="3" borderId="0" xfId="0" applyFill="1" applyBorder="1" applyAlignment="1">
      <alignment horizontal="center" vertical="center" wrapText="1"/>
    </xf>
    <xf numFmtId="0" fontId="0" fillId="2" borderId="24" xfId="0" applyFont="1" applyFill="1" applyBorder="1" applyAlignment="1">
      <alignment vertical="center"/>
    </xf>
    <xf numFmtId="0" fontId="48" fillId="2" borderId="0" xfId="0" applyFont="1" applyFill="1" applyBorder="1" applyAlignment="1">
      <alignment horizontal="left" wrapText="1" readingOrder="1"/>
    </xf>
    <xf numFmtId="0" fontId="3"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0" fillId="3" borderId="24" xfId="0" applyFont="1" applyFill="1" applyBorder="1" applyAlignment="1">
      <alignment horizontal="center" vertical="center" wrapText="1"/>
    </xf>
    <xf numFmtId="0" fontId="34" fillId="2" borderId="10" xfId="0" applyFont="1" applyFill="1" applyBorder="1" applyAlignment="1">
      <alignment horizontal="center" vertical="center" wrapText="1"/>
    </xf>
    <xf numFmtId="165" fontId="0" fillId="3" borderId="0"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12" xfId="0" applyFont="1" applyFill="1" applyBorder="1" applyAlignment="1">
      <alignment horizontal="center" vertical="center" wrapText="1"/>
    </xf>
    <xf numFmtId="0" fontId="0" fillId="2" borderId="12" xfId="0" applyFont="1" applyFill="1" applyBorder="1" applyAlignment="1">
      <alignment vertical="center" wrapText="1"/>
    </xf>
    <xf numFmtId="0" fontId="0" fillId="2" borderId="17" xfId="0" applyFont="1" applyFill="1" applyBorder="1" applyAlignment="1">
      <alignment vertical="center"/>
    </xf>
    <xf numFmtId="0" fontId="21" fillId="2" borderId="9" xfId="0" applyFont="1" applyFill="1" applyBorder="1" applyAlignment="1">
      <alignment horizontal="center" vertical="center"/>
    </xf>
    <xf numFmtId="0" fontId="0" fillId="2" borderId="9" xfId="0" applyFont="1" applyFill="1" applyBorder="1" applyAlignment="1">
      <alignment horizontal="left" vertical="top"/>
    </xf>
    <xf numFmtId="0" fontId="0" fillId="2" borderId="0" xfId="0" applyFill="1" applyBorder="1" applyAlignment="1">
      <alignment vertical="center" wrapText="1"/>
    </xf>
    <xf numFmtId="0" fontId="33" fillId="2" borderId="0" xfId="0" applyFont="1" applyFill="1" applyBorder="1" applyAlignment="1">
      <alignment horizontal="center" vertical="center"/>
    </xf>
    <xf numFmtId="0" fontId="36"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1" fillId="2" borderId="0" xfId="0" applyFont="1" applyFill="1" applyBorder="1" applyAlignment="1">
      <alignment horizontal="center" vertical="center"/>
    </xf>
    <xf numFmtId="0" fontId="2" fillId="2" borderId="0" xfId="0" applyFont="1" applyFill="1" applyAlignment="1">
      <alignment horizontal="left" vertical="center"/>
    </xf>
    <xf numFmtId="0" fontId="1" fillId="2" borderId="0" xfId="0" applyFont="1" applyFill="1" applyBorder="1" applyAlignment="1">
      <alignment vertical="center" wrapText="1"/>
    </xf>
    <xf numFmtId="0" fontId="42" fillId="2" borderId="0" xfId="0" applyFont="1" applyFill="1" applyBorder="1" applyAlignment="1">
      <alignment vertical="center" wrapText="1"/>
    </xf>
    <xf numFmtId="0" fontId="36" fillId="2" borderId="0" xfId="0" applyFont="1" applyFill="1" applyBorder="1" applyAlignment="1">
      <alignment vertical="center" wrapText="1"/>
    </xf>
    <xf numFmtId="168" fontId="1" fillId="2" borderId="0" xfId="0" applyNumberFormat="1" applyFont="1" applyFill="1" applyBorder="1" applyAlignment="1">
      <alignment vertical="center" wrapText="1"/>
    </xf>
    <xf numFmtId="2" fontId="1" fillId="2" borderId="0" xfId="0" applyNumberFormat="1" applyFont="1" applyFill="1" applyBorder="1" applyAlignment="1">
      <alignment vertical="center" wrapText="1"/>
    </xf>
    <xf numFmtId="1" fontId="1" fillId="2" borderId="0"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20"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0" fillId="2" borderId="0" xfId="0" applyFont="1" applyFill="1" applyBorder="1" applyAlignment="1">
      <alignment horizontal="center" wrapText="1"/>
    </xf>
    <xf numFmtId="0" fontId="17" fillId="2" borderId="0" xfId="0" applyFont="1" applyFill="1" applyBorder="1" applyAlignment="1">
      <alignment horizontal="center" wrapText="1"/>
    </xf>
    <xf numFmtId="0" fontId="52" fillId="2" borderId="10" xfId="0" applyFont="1" applyFill="1" applyBorder="1" applyAlignment="1">
      <alignment vertical="center"/>
    </xf>
    <xf numFmtId="0" fontId="52" fillId="2" borderId="0" xfId="0" applyFont="1" applyFill="1" applyBorder="1" applyAlignment="1">
      <alignment vertical="center"/>
    </xf>
    <xf numFmtId="0" fontId="20" fillId="2" borderId="0" xfId="0" applyFont="1" applyFill="1" applyBorder="1" applyAlignment="1">
      <alignment vertical="center" wrapText="1"/>
    </xf>
    <xf numFmtId="0" fontId="53" fillId="2" borderId="0" xfId="0" applyFont="1" applyFill="1" applyBorder="1" applyAlignment="1">
      <alignment horizontal="left" vertical="top" wrapText="1"/>
    </xf>
    <xf numFmtId="0" fontId="54" fillId="2" borderId="0" xfId="0" applyFont="1" applyFill="1" applyBorder="1" applyAlignment="1">
      <alignment horizontal="left" vertical="top" wrapText="1"/>
    </xf>
    <xf numFmtId="0" fontId="36" fillId="2" borderId="7" xfId="0" applyFont="1" applyFill="1" applyBorder="1" applyAlignment="1">
      <alignment vertical="center"/>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3" fillId="2" borderId="0" xfId="0" applyFont="1" applyFill="1" applyBorder="1" applyAlignment="1">
      <alignment horizontal="left" vertical="center"/>
    </xf>
    <xf numFmtId="0" fontId="5" fillId="2" borderId="4" xfId="0" applyFont="1" applyFill="1" applyBorder="1" applyAlignment="1">
      <alignment vertical="center"/>
    </xf>
    <xf numFmtId="0" fontId="0" fillId="2" borderId="0" xfId="0" applyFont="1" applyFill="1" applyBorder="1" applyAlignment="1">
      <alignment horizontal="center" vertical="center" wrapText="1"/>
    </xf>
    <xf numFmtId="0" fontId="0" fillId="12" borderId="17" xfId="0" applyFill="1" applyBorder="1" applyAlignment="1">
      <alignment horizontal="left" vertical="center"/>
    </xf>
    <xf numFmtId="0" fontId="20" fillId="2" borderId="0" xfId="0" applyFont="1" applyFill="1" applyBorder="1" applyAlignment="1">
      <alignment vertical="top"/>
    </xf>
    <xf numFmtId="0" fontId="20" fillId="2" borderId="0" xfId="0" applyFont="1" applyFill="1" applyBorder="1" applyAlignment="1">
      <alignment horizontal="left" vertical="top"/>
    </xf>
    <xf numFmtId="0" fontId="20" fillId="2" borderId="9" xfId="0" applyFont="1" applyFill="1" applyBorder="1" applyAlignment="1">
      <alignment horizontal="left" vertical="top"/>
    </xf>
    <xf numFmtId="0" fontId="22" fillId="2" borderId="0" xfId="0" applyFont="1" applyFill="1" applyBorder="1" applyAlignment="1">
      <alignment horizontal="center" vertical="center"/>
    </xf>
    <xf numFmtId="0" fontId="4" fillId="2" borderId="0" xfId="1" applyFill="1" applyBorder="1" applyAlignment="1" applyProtection="1">
      <alignment horizontal="left" vertical="top"/>
    </xf>
    <xf numFmtId="0" fontId="20" fillId="2" borderId="1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17" fillId="2" borderId="11" xfId="0" applyFont="1" applyFill="1" applyBorder="1" applyAlignment="1">
      <alignment horizontal="center" vertical="center"/>
    </xf>
    <xf numFmtId="0" fontId="20" fillId="2" borderId="0" xfId="0" applyFont="1" applyFill="1" applyBorder="1" applyAlignment="1">
      <alignment horizontal="left" vertical="top"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20" fillId="2" borderId="0" xfId="0" applyFont="1" applyFill="1" applyBorder="1" applyAlignment="1">
      <alignment horizontal="center" vertical="center" wrapText="1"/>
    </xf>
    <xf numFmtId="0" fontId="2" fillId="5" borderId="0" xfId="0" applyFont="1" applyFill="1"/>
    <xf numFmtId="0" fontId="55" fillId="5" borderId="0" xfId="0" applyFont="1" applyFill="1"/>
    <xf numFmtId="0" fontId="2" fillId="5" borderId="0" xfId="0" applyFont="1" applyFill="1" applyAlignment="1">
      <alignment vertical="center" wrapText="1"/>
    </xf>
    <xf numFmtId="0" fontId="0" fillId="10" borderId="0" xfId="0" applyFill="1"/>
    <xf numFmtId="0" fontId="0" fillId="10" borderId="0" xfId="0" applyFill="1" applyAlignment="1">
      <alignment horizontal="left"/>
    </xf>
    <xf numFmtId="0" fontId="0" fillId="10" borderId="0" xfId="0" quotePrefix="1" applyFill="1"/>
    <xf numFmtId="0" fontId="17" fillId="0" borderId="0" xfId="0" applyFont="1" applyFill="1" applyBorder="1" applyAlignment="1">
      <alignment horizontal="center" vertical="center"/>
    </xf>
    <xf numFmtId="0" fontId="0"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20" fillId="2" borderId="0"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0" xfId="0" applyFont="1" applyFill="1" applyBorder="1" applyAlignment="1">
      <alignment vertical="center" wrapText="1"/>
    </xf>
    <xf numFmtId="0" fontId="20" fillId="2" borderId="0" xfId="0" applyFont="1" applyFill="1" applyBorder="1" applyAlignment="1">
      <alignment horizontal="left" vertical="center"/>
    </xf>
    <xf numFmtId="0" fontId="20"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3" fillId="2" borderId="0" xfId="0" applyFont="1" applyFill="1" applyAlignment="1">
      <alignment vertical="center"/>
    </xf>
    <xf numFmtId="0" fontId="33" fillId="2" borderId="0" xfId="0" applyFont="1" applyFill="1" applyBorder="1" applyAlignment="1">
      <alignment horizontal="left" vertical="top"/>
    </xf>
    <xf numFmtId="0" fontId="33" fillId="2" borderId="1" xfId="0" applyFont="1" applyFill="1" applyBorder="1" applyAlignment="1">
      <alignment vertical="center"/>
    </xf>
    <xf numFmtId="0" fontId="33" fillId="2" borderId="21" xfId="0" applyFont="1" applyFill="1" applyBorder="1" applyAlignment="1">
      <alignment vertical="center"/>
    </xf>
    <xf numFmtId="166" fontId="35" fillId="2" borderId="0" xfId="0" applyNumberFormat="1" applyFont="1" applyFill="1" applyBorder="1" applyAlignment="1">
      <alignment horizontal="center"/>
    </xf>
    <xf numFmtId="0" fontId="17" fillId="2" borderId="22" xfId="0" applyFont="1" applyFill="1" applyBorder="1" applyAlignment="1">
      <alignment horizontal="center" vertical="center" wrapText="1"/>
    </xf>
    <xf numFmtId="0" fontId="33" fillId="2" borderId="22" xfId="0" applyFont="1" applyFill="1" applyBorder="1" applyAlignment="1">
      <alignment vertical="center"/>
    </xf>
    <xf numFmtId="0" fontId="33" fillId="2" borderId="0" xfId="0" applyFont="1" applyFill="1" applyBorder="1" applyAlignment="1">
      <alignment horizontal="center"/>
    </xf>
    <xf numFmtId="0" fontId="60" fillId="2" borderId="0" xfId="0" applyFont="1" applyFill="1" applyBorder="1" applyAlignment="1">
      <alignment horizontal="left" vertical="center"/>
    </xf>
    <xf numFmtId="0" fontId="33" fillId="2" borderId="0" xfId="0" applyFont="1" applyFill="1" applyBorder="1" applyAlignment="1">
      <alignment horizontal="center" vertical="center" wrapText="1"/>
    </xf>
    <xf numFmtId="0" fontId="45" fillId="2" borderId="0" xfId="0" applyFont="1" applyFill="1" applyBorder="1" applyAlignment="1">
      <alignment horizontal="center" wrapText="1"/>
    </xf>
    <xf numFmtId="0" fontId="33" fillId="2" borderId="2" xfId="0" applyFont="1" applyFill="1" applyBorder="1" applyAlignment="1">
      <alignment vertical="center"/>
    </xf>
    <xf numFmtId="0" fontId="33" fillId="2" borderId="6" xfId="0" applyFont="1" applyFill="1" applyBorder="1" applyAlignment="1">
      <alignment vertical="center"/>
    </xf>
    <xf numFmtId="0" fontId="33" fillId="2" borderId="7" xfId="0" applyFont="1" applyFill="1" applyBorder="1" applyAlignment="1">
      <alignment vertical="center"/>
    </xf>
    <xf numFmtId="0" fontId="55" fillId="2" borderId="0" xfId="0" applyFont="1" applyFill="1" applyBorder="1" applyAlignment="1">
      <alignment vertical="center"/>
    </xf>
    <xf numFmtId="0" fontId="17" fillId="2" borderId="4" xfId="0" applyFont="1" applyFill="1" applyBorder="1" applyAlignment="1">
      <alignment horizontal="left" vertical="center" wrapText="1"/>
    </xf>
    <xf numFmtId="0" fontId="17" fillId="2" borderId="4" xfId="0" applyFont="1" applyFill="1" applyBorder="1" applyAlignment="1">
      <alignment horizontal="left"/>
    </xf>
    <xf numFmtId="0" fontId="17" fillId="2" borderId="6" xfId="0" applyFont="1" applyFill="1" applyBorder="1" applyAlignment="1">
      <alignment horizontal="left" wrapText="1"/>
    </xf>
    <xf numFmtId="0" fontId="17" fillId="2" borderId="0" xfId="0" applyFont="1" applyFill="1" applyBorder="1" applyAlignment="1">
      <alignment horizontal="left" wrapText="1"/>
    </xf>
    <xf numFmtId="3" fontId="61" fillId="2" borderId="0" xfId="0" applyNumberFormat="1" applyFont="1" applyFill="1" applyBorder="1" applyAlignment="1">
      <alignment horizontal="center"/>
    </xf>
    <xf numFmtId="0" fontId="62" fillId="2" borderId="0" xfId="0" applyFont="1" applyFill="1" applyBorder="1" applyAlignment="1">
      <alignment horizontal="center" vertical="center"/>
    </xf>
    <xf numFmtId="0" fontId="62" fillId="2" borderId="0" xfId="0" applyFont="1" applyFill="1" applyBorder="1" applyAlignment="1">
      <alignment horizontal="center"/>
    </xf>
    <xf numFmtId="0" fontId="62" fillId="2" borderId="7" xfId="0" applyFont="1" applyFill="1" applyBorder="1" applyAlignment="1">
      <alignment horizontal="center" wrapText="1"/>
    </xf>
    <xf numFmtId="0" fontId="62" fillId="2" borderId="0" xfId="0" applyFont="1" applyFill="1" applyBorder="1" applyAlignment="1">
      <alignment horizontal="center" wrapText="1"/>
    </xf>
    <xf numFmtId="0" fontId="46" fillId="2" borderId="10" xfId="0" applyFont="1" applyFill="1" applyBorder="1" applyAlignment="1">
      <alignment horizontal="center" vertical="center" wrapText="1"/>
    </xf>
    <xf numFmtId="1" fontId="36" fillId="2" borderId="0" xfId="0" applyNumberFormat="1" applyFont="1" applyFill="1" applyBorder="1" applyAlignment="1">
      <alignment horizontal="center" vertical="center" wrapText="1"/>
    </xf>
    <xf numFmtId="0" fontId="36" fillId="2" borderId="0" xfId="0" applyFont="1" applyFill="1" applyBorder="1" applyAlignment="1">
      <alignment horizontal="center" wrapText="1"/>
    </xf>
    <xf numFmtId="0" fontId="46" fillId="2" borderId="0" xfId="0" applyFont="1" applyFill="1" applyBorder="1" applyAlignment="1">
      <alignment horizontal="center"/>
    </xf>
    <xf numFmtId="0" fontId="46" fillId="2" borderId="7" xfId="0" applyFont="1" applyFill="1" applyBorder="1" applyAlignment="1">
      <alignment horizontal="center" wrapText="1"/>
    </xf>
    <xf numFmtId="171" fontId="0" fillId="3"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3" fillId="2" borderId="7" xfId="0" applyFont="1" applyFill="1" applyBorder="1" applyAlignment="1">
      <alignment horizontal="left" vertical="center"/>
    </xf>
    <xf numFmtId="0" fontId="2" fillId="2" borderId="7" xfId="0" applyFont="1" applyFill="1" applyBorder="1" applyAlignment="1">
      <alignment horizontal="left" vertical="top"/>
    </xf>
    <xf numFmtId="0" fontId="36" fillId="2" borderId="7" xfId="0" applyFont="1" applyFill="1" applyBorder="1" applyAlignment="1">
      <alignment vertical="center" wrapText="1"/>
    </xf>
    <xf numFmtId="167" fontId="0" fillId="3" borderId="0" xfId="0" applyNumberFormat="1" applyFont="1" applyFill="1" applyBorder="1" applyAlignment="1">
      <alignment horizontal="center" vertical="center"/>
    </xf>
    <xf numFmtId="3" fontId="36" fillId="2" borderId="0" xfId="0" quotePrefix="1" applyNumberFormat="1" applyFont="1" applyFill="1" applyBorder="1" applyAlignment="1">
      <alignment horizontal="center" vertical="center" wrapText="1"/>
    </xf>
    <xf numFmtId="0" fontId="17" fillId="2" borderId="10" xfId="0" applyFont="1" applyFill="1" applyBorder="1" applyAlignment="1">
      <alignment vertical="center"/>
    </xf>
    <xf numFmtId="0" fontId="0" fillId="2" borderId="10" xfId="0" applyFont="1" applyFill="1" applyBorder="1" applyAlignment="1">
      <alignment horizontal="center" vertical="center"/>
    </xf>
    <xf numFmtId="168" fontId="0" fillId="3" borderId="10" xfId="0" applyNumberFormat="1" applyFont="1" applyFill="1" applyBorder="1" applyAlignment="1">
      <alignment horizontal="center" vertical="center"/>
    </xf>
    <xf numFmtId="168" fontId="0" fillId="2" borderId="10" xfId="0" applyNumberFormat="1" applyFont="1" applyFill="1" applyBorder="1" applyAlignment="1">
      <alignment horizontal="center" vertical="center"/>
    </xf>
    <xf numFmtId="168" fontId="0" fillId="3" borderId="10" xfId="0" applyNumberFormat="1" applyFill="1" applyBorder="1" applyAlignment="1">
      <alignment horizontal="center" vertical="center"/>
    </xf>
    <xf numFmtId="0" fontId="17" fillId="2" borderId="12" xfId="0" applyFont="1" applyFill="1" applyBorder="1" applyAlignment="1">
      <alignment vertical="center"/>
    </xf>
    <xf numFmtId="0" fontId="2" fillId="2" borderId="12" xfId="0" applyFont="1" applyFill="1" applyBorder="1" applyAlignment="1">
      <alignment horizontal="left" vertical="top"/>
    </xf>
    <xf numFmtId="0" fontId="10" fillId="2" borderId="12" xfId="0" applyFont="1" applyFill="1" applyBorder="1" applyAlignment="1">
      <alignment horizontal="left" vertical="center"/>
    </xf>
    <xf numFmtId="0" fontId="0" fillId="2" borderId="12" xfId="0" applyFill="1" applyBorder="1"/>
    <xf numFmtId="0" fontId="0" fillId="2" borderId="12" xfId="0" applyFont="1" applyFill="1" applyBorder="1" applyAlignment="1">
      <alignment horizontal="center" vertical="center"/>
    </xf>
    <xf numFmtId="0" fontId="17" fillId="2" borderId="12" xfId="0" applyFont="1" applyFill="1" applyBorder="1" applyAlignment="1">
      <alignment horizontal="left" vertical="center"/>
    </xf>
    <xf numFmtId="0" fontId="36" fillId="2" borderId="10" xfId="0" applyFont="1" applyFill="1" applyBorder="1" applyAlignment="1">
      <alignment vertical="center" wrapText="1"/>
    </xf>
    <xf numFmtId="0" fontId="36" fillId="2" borderId="10" xfId="0" applyFont="1" applyFill="1" applyBorder="1" applyAlignment="1">
      <alignment horizontal="center" wrapText="1"/>
    </xf>
    <xf numFmtId="0" fontId="63" fillId="2" borderId="12" xfId="0" applyFont="1" applyFill="1" applyBorder="1" applyAlignment="1">
      <alignment horizontal="center" vertical="center"/>
    </xf>
    <xf numFmtId="0" fontId="63" fillId="2" borderId="12" xfId="0" applyFont="1" applyFill="1" applyBorder="1" applyAlignment="1">
      <alignment horizontal="center"/>
    </xf>
    <xf numFmtId="0" fontId="0" fillId="2" borderId="10" xfId="0" applyFont="1" applyFill="1" applyBorder="1" applyAlignment="1">
      <alignment horizontal="center" vertical="center" wrapText="1"/>
    </xf>
    <xf numFmtId="0" fontId="0" fillId="3" borderId="10" xfId="0" applyFont="1" applyFill="1" applyBorder="1" applyAlignment="1">
      <alignment horizontal="center" vertical="center" wrapText="1"/>
    </xf>
    <xf numFmtId="171" fontId="0" fillId="3" borderId="10" xfId="0" applyNumberFormat="1" applyFont="1" applyFill="1" applyBorder="1" applyAlignment="1">
      <alignment horizontal="center" vertical="center" wrapText="1"/>
    </xf>
    <xf numFmtId="0" fontId="0" fillId="2" borderId="10" xfId="0" applyFont="1" applyFill="1" applyBorder="1" applyAlignment="1">
      <alignment horizontal="center" wrapText="1"/>
    </xf>
    <xf numFmtId="0" fontId="36" fillId="2" borderId="10" xfId="0" applyFont="1" applyFill="1" applyBorder="1" applyAlignment="1">
      <alignment horizontal="center" vertical="center" wrapText="1"/>
    </xf>
    <xf numFmtId="168" fontId="36" fillId="2" borderId="10" xfId="0"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2" fillId="2" borderId="26" xfId="0" applyFont="1" applyFill="1" applyBorder="1" applyAlignment="1">
      <alignment vertical="center"/>
    </xf>
    <xf numFmtId="0" fontId="0" fillId="3" borderId="24" xfId="0" applyFont="1" applyFill="1" applyBorder="1" applyAlignment="1">
      <alignment horizontal="center" vertical="center"/>
    </xf>
    <xf numFmtId="0" fontId="35" fillId="2" borderId="17" xfId="0" applyFont="1" applyFill="1" applyBorder="1" applyAlignment="1">
      <alignment horizontal="left" vertical="center"/>
    </xf>
    <xf numFmtId="4" fontId="36" fillId="2" borderId="0" xfId="0" quotePrefix="1" applyNumberFormat="1" applyFont="1" applyFill="1" applyBorder="1" applyAlignment="1">
      <alignment horizontal="center" vertical="center" wrapText="1"/>
    </xf>
    <xf numFmtId="0" fontId="3" fillId="0" borderId="10" xfId="0" applyFont="1" applyFill="1" applyBorder="1" applyAlignment="1">
      <alignment vertical="center"/>
    </xf>
    <xf numFmtId="0" fontId="2" fillId="0" borderId="10" xfId="0" applyFont="1" applyFill="1" applyBorder="1" applyAlignment="1">
      <alignment vertical="top"/>
    </xf>
    <xf numFmtId="0" fontId="10" fillId="0" borderId="10" xfId="0" applyFont="1" applyFill="1" applyBorder="1" applyAlignment="1">
      <alignment vertical="center"/>
    </xf>
    <xf numFmtId="0" fontId="17" fillId="0" borderId="1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10" fillId="0" borderId="0" xfId="0" applyFont="1" applyFill="1" applyBorder="1" applyAlignment="1">
      <alignment horizontal="left" vertical="center"/>
    </xf>
    <xf numFmtId="2" fontId="1" fillId="0" borderId="0" xfId="0" applyNumberFormat="1" applyFont="1" applyFill="1" applyBorder="1" applyAlignment="1">
      <alignment horizontal="center" vertical="center" wrapText="1"/>
    </xf>
    <xf numFmtId="2" fontId="36"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0" fillId="0" borderId="10" xfId="0" applyFont="1" applyFill="1" applyBorder="1" applyAlignment="1">
      <alignment vertical="center"/>
    </xf>
    <xf numFmtId="0" fontId="10" fillId="0" borderId="10" xfId="0" applyFont="1" applyFill="1" applyBorder="1" applyAlignment="1">
      <alignment horizontal="left" vertical="center"/>
    </xf>
    <xf numFmtId="0" fontId="42"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52" fillId="0" borderId="10" xfId="0" applyFont="1" applyFill="1" applyBorder="1" applyAlignment="1">
      <alignment vertical="center"/>
    </xf>
    <xf numFmtId="0" fontId="17" fillId="0" borderId="0" xfId="0" applyFont="1" applyFill="1" applyBorder="1" applyAlignment="1">
      <alignment horizontal="left" vertical="center"/>
    </xf>
    <xf numFmtId="1" fontId="36" fillId="0" borderId="0" xfId="0" applyNumberFormat="1" applyFont="1" applyFill="1" applyBorder="1" applyAlignment="1">
      <alignment horizontal="center" vertical="center" wrapText="1"/>
    </xf>
    <xf numFmtId="2" fontId="36" fillId="0" borderId="10" xfId="0" applyNumberFormat="1" applyFont="1" applyFill="1" applyBorder="1" applyAlignment="1">
      <alignment horizontal="center" vertical="center" wrapText="1"/>
    </xf>
    <xf numFmtId="3" fontId="36" fillId="0" borderId="0" xfId="0" quotePrefix="1" applyNumberFormat="1" applyFont="1" applyFill="1" applyBorder="1" applyAlignment="1">
      <alignment horizontal="center" vertical="center" wrapText="1"/>
    </xf>
    <xf numFmtId="0" fontId="2" fillId="0" borderId="0" xfId="0" applyFont="1" applyFill="1" applyBorder="1" applyAlignment="1">
      <alignment horizontal="left" vertical="center"/>
    </xf>
    <xf numFmtId="4" fontId="36" fillId="0" borderId="0" xfId="0" quotePrefix="1"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xf>
    <xf numFmtId="0" fontId="3" fillId="0" borderId="0" xfId="0" applyFont="1" applyFill="1" applyBorder="1" applyAlignment="1">
      <alignment horizontal="left" vertical="center" wrapText="1"/>
    </xf>
    <xf numFmtId="0" fontId="52" fillId="0" borderId="0" xfId="0" applyFont="1" applyFill="1" applyBorder="1" applyAlignment="1">
      <alignment vertical="center"/>
    </xf>
    <xf numFmtId="0" fontId="2" fillId="0" borderId="0" xfId="0" applyFont="1" applyFill="1" applyBorder="1" applyAlignment="1">
      <alignment vertical="top"/>
    </xf>
    <xf numFmtId="167" fontId="36" fillId="0" borderId="0" xfId="0" applyNumberFormat="1" applyFont="1" applyFill="1" applyBorder="1" applyAlignment="1">
      <alignment horizontal="center" vertical="center"/>
    </xf>
    <xf numFmtId="0" fontId="23" fillId="0" borderId="0" xfId="0" applyFont="1" applyFill="1" applyAlignment="1">
      <alignment horizontal="left" vertical="center"/>
    </xf>
    <xf numFmtId="9" fontId="0" fillId="0" borderId="0" xfId="6" applyFont="1" applyFill="1" applyBorder="1" applyAlignment="1">
      <alignment vertical="center"/>
    </xf>
    <xf numFmtId="0" fontId="2" fillId="0" borderId="0" xfId="0" applyFont="1" applyFill="1" applyBorder="1" applyAlignment="1">
      <alignment vertical="center"/>
    </xf>
    <xf numFmtId="9" fontId="1" fillId="0" borderId="0" xfId="6" applyFont="1" applyFill="1" applyBorder="1" applyAlignment="1">
      <alignment vertical="center"/>
    </xf>
    <xf numFmtId="0" fontId="1" fillId="0" borderId="0" xfId="0" applyFont="1" applyFill="1" applyBorder="1" applyAlignment="1">
      <alignment vertical="center"/>
    </xf>
    <xf numFmtId="168" fontId="1" fillId="0" borderId="0" xfId="6" applyNumberFormat="1" applyFont="1" applyFill="1" applyBorder="1" applyAlignment="1">
      <alignment vertical="center"/>
    </xf>
    <xf numFmtId="0" fontId="0" fillId="0" borderId="9" xfId="0" applyFont="1" applyFill="1" applyBorder="1" applyAlignment="1">
      <alignment vertical="center"/>
    </xf>
    <xf numFmtId="168" fontId="1" fillId="0" borderId="9" xfId="6" applyNumberFormat="1" applyFont="1" applyFill="1" applyBorder="1" applyAlignment="1">
      <alignment vertical="center"/>
    </xf>
    <xf numFmtId="0" fontId="1" fillId="0" borderId="9" xfId="0" applyFont="1" applyFill="1" applyBorder="1" applyAlignment="1">
      <alignment vertical="center"/>
    </xf>
    <xf numFmtId="9" fontId="0" fillId="0" borderId="9" xfId="6" applyFont="1" applyFill="1" applyBorder="1" applyAlignment="1">
      <alignment vertical="center"/>
    </xf>
    <xf numFmtId="9" fontId="1" fillId="0" borderId="9" xfId="6" applyFont="1" applyFill="1" applyBorder="1" applyAlignment="1">
      <alignment vertical="center"/>
    </xf>
    <xf numFmtId="2" fontId="1" fillId="0" borderId="0" xfId="0" applyNumberFormat="1" applyFont="1" applyFill="1" applyBorder="1" applyAlignment="1">
      <alignment vertical="center"/>
    </xf>
    <xf numFmtId="168" fontId="1" fillId="0" borderId="0" xfId="0" applyNumberFormat="1"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7" fillId="2" borderId="0" xfId="0" applyFont="1" applyFill="1" applyBorder="1" applyAlignment="1">
      <alignment vertical="center"/>
    </xf>
    <xf numFmtId="0" fontId="1" fillId="2" borderId="0" xfId="0" applyFont="1" applyFill="1" applyBorder="1" applyAlignment="1">
      <alignment horizontal="center" vertical="center"/>
    </xf>
    <xf numFmtId="0" fontId="0" fillId="2" borderId="9" xfId="0" applyFont="1" applyFill="1" applyBorder="1" applyAlignment="1">
      <alignment vertical="center"/>
    </xf>
    <xf numFmtId="0" fontId="0" fillId="2" borderId="15" xfId="0" applyFont="1" applyFill="1" applyBorder="1" applyAlignment="1">
      <alignment vertical="center"/>
    </xf>
    <xf numFmtId="0" fontId="0" fillId="2" borderId="29" xfId="0" applyFont="1" applyFill="1" applyBorder="1" applyAlignment="1">
      <alignment vertical="center"/>
    </xf>
    <xf numFmtId="0" fontId="21" fillId="3" borderId="28"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5" xfId="0" applyFont="1" applyFill="1" applyBorder="1" applyAlignment="1">
      <alignment vertical="top"/>
    </xf>
    <xf numFmtId="0" fontId="20" fillId="2" borderId="5" xfId="0" applyFont="1" applyFill="1" applyBorder="1" applyAlignment="1">
      <alignment horizontal="left" vertical="top" wrapText="1"/>
    </xf>
    <xf numFmtId="0" fontId="2" fillId="2" borderId="0" xfId="0" applyFont="1" applyFill="1" applyBorder="1" applyAlignment="1">
      <alignment horizontal="left" vertical="center" wrapText="1"/>
    </xf>
    <xf numFmtId="0" fontId="17" fillId="2" borderId="11" xfId="0" applyFont="1" applyFill="1" applyBorder="1" applyAlignment="1">
      <alignment horizontal="center" vertical="center"/>
    </xf>
    <xf numFmtId="0" fontId="17" fillId="2" borderId="0" xfId="0" applyFont="1" applyFill="1" applyBorder="1" applyAlignment="1">
      <alignment horizontal="center" vertical="center"/>
    </xf>
    <xf numFmtId="168" fontId="32" fillId="2" borderId="0" xfId="0" applyNumberFormat="1" applyFont="1" applyFill="1" applyBorder="1" applyAlignment="1">
      <alignment horizontal="center" vertical="center"/>
    </xf>
    <xf numFmtId="9" fontId="32" fillId="2" borderId="0" xfId="6" applyFont="1" applyFill="1" applyBorder="1" applyAlignment="1">
      <alignment horizontal="center" vertical="center"/>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39" fillId="2" borderId="12" xfId="0" applyFont="1" applyFill="1" applyBorder="1" applyAlignment="1">
      <alignment horizontal="right" vertical="center"/>
    </xf>
    <xf numFmtId="0" fontId="39" fillId="2" borderId="0" xfId="0" applyFont="1" applyFill="1" applyBorder="1" applyAlignment="1">
      <alignment horizontal="right" vertical="center"/>
    </xf>
    <xf numFmtId="0" fontId="39" fillId="2" borderId="10" xfId="0" applyFont="1" applyFill="1" applyBorder="1" applyAlignment="1">
      <alignment horizontal="right" vertical="center"/>
    </xf>
    <xf numFmtId="0" fontId="2" fillId="2" borderId="12" xfId="0" applyFont="1" applyFill="1" applyBorder="1" applyAlignment="1">
      <alignment vertical="top"/>
    </xf>
    <xf numFmtId="0" fontId="0" fillId="2" borderId="12" xfId="0" applyFont="1" applyFill="1" applyBorder="1" applyAlignment="1">
      <alignment horizontal="left" vertical="top"/>
    </xf>
    <xf numFmtId="0" fontId="0" fillId="2" borderId="0" xfId="0" applyFont="1" applyFill="1" applyBorder="1" applyAlignment="1">
      <alignment vertical="top" wrapText="1"/>
    </xf>
    <xf numFmtId="0" fontId="0" fillId="2" borderId="10" xfId="0" applyFont="1" applyFill="1" applyBorder="1" applyAlignment="1">
      <alignment vertical="top" wrapText="1"/>
    </xf>
    <xf numFmtId="0" fontId="0" fillId="2" borderId="12" xfId="0" applyFont="1" applyFill="1" applyBorder="1" applyAlignment="1">
      <alignment vertical="top"/>
    </xf>
    <xf numFmtId="0" fontId="0" fillId="2" borderId="12" xfId="0" applyFont="1" applyFill="1" applyBorder="1" applyAlignment="1">
      <alignment vertical="top" wrapText="1"/>
    </xf>
    <xf numFmtId="0" fontId="25" fillId="2" borderId="0" xfId="0" applyFont="1" applyFill="1" applyBorder="1" applyAlignment="1">
      <alignment horizontal="left" vertical="top"/>
    </xf>
    <xf numFmtId="0" fontId="0" fillId="2" borderId="0" xfId="0" applyFill="1" applyBorder="1" applyAlignment="1">
      <alignment vertical="top"/>
    </xf>
    <xf numFmtId="0" fontId="0" fillId="2" borderId="7" xfId="0" applyFont="1" applyFill="1" applyBorder="1" applyAlignment="1">
      <alignment vertical="top"/>
    </xf>
    <xf numFmtId="0" fontId="0" fillId="3" borderId="12" xfId="0" applyFont="1" applyFill="1" applyBorder="1" applyAlignment="1">
      <alignment horizontal="center" vertical="center" wrapText="1"/>
    </xf>
    <xf numFmtId="0" fontId="48" fillId="2" borderId="12" xfId="0" applyFont="1" applyFill="1" applyBorder="1" applyAlignment="1">
      <alignment horizontal="left" wrapText="1" readingOrder="1"/>
    </xf>
    <xf numFmtId="0" fontId="2" fillId="3" borderId="12" xfId="0" applyFont="1" applyFill="1" applyBorder="1" applyAlignment="1">
      <alignment horizontal="center" vertical="center" wrapText="1"/>
    </xf>
    <xf numFmtId="0" fontId="48" fillId="2" borderId="12" xfId="0" applyFont="1" applyFill="1" applyBorder="1" applyAlignment="1">
      <alignment vertical="center"/>
    </xf>
    <xf numFmtId="0" fontId="0" fillId="2" borderId="7" xfId="0" applyFill="1" applyBorder="1" applyAlignment="1">
      <alignment vertical="top"/>
    </xf>
    <xf numFmtId="0" fontId="0" fillId="2" borderId="10" xfId="0" applyFill="1" applyBorder="1" applyAlignment="1">
      <alignment vertical="top"/>
    </xf>
    <xf numFmtId="0" fontId="0" fillId="2" borderId="10" xfId="0" applyFont="1" applyFill="1" applyBorder="1" applyAlignment="1">
      <alignment vertical="top"/>
    </xf>
    <xf numFmtId="0" fontId="2" fillId="2" borderId="11" xfId="0" applyFont="1" applyFill="1" applyBorder="1" applyAlignment="1">
      <alignment vertical="top"/>
    </xf>
    <xf numFmtId="0" fontId="0" fillId="2" borderId="11" xfId="0" applyFont="1" applyFill="1" applyBorder="1" applyAlignment="1">
      <alignment vertical="top"/>
    </xf>
    <xf numFmtId="0" fontId="0" fillId="2" borderId="11" xfId="0" applyFont="1" applyFill="1" applyBorder="1" applyAlignment="1">
      <alignment vertical="top" wrapText="1"/>
    </xf>
    <xf numFmtId="0" fontId="0" fillId="2" borderId="11" xfId="0" applyFill="1" applyBorder="1" applyAlignment="1">
      <alignment vertical="top"/>
    </xf>
    <xf numFmtId="0" fontId="17" fillId="2" borderId="0" xfId="0" applyFont="1" applyFill="1" applyBorder="1" applyAlignment="1">
      <alignment horizontal="center" vertical="top"/>
    </xf>
    <xf numFmtId="0" fontId="9" fillId="2" borderId="12" xfId="0" applyFont="1" applyFill="1" applyBorder="1" applyAlignment="1">
      <alignment horizontal="center" vertical="center"/>
    </xf>
    <xf numFmtId="0" fontId="0" fillId="3" borderId="0" xfId="0" applyFill="1" applyBorder="1" applyAlignment="1">
      <alignment horizontal="left" vertical="center" wrapText="1"/>
    </xf>
    <xf numFmtId="3" fontId="36" fillId="2" borderId="0" xfId="0" applyNumberFormat="1" applyFont="1" applyFill="1" applyBorder="1" applyAlignment="1">
      <alignment horizontal="center" vertical="center" wrapText="1"/>
    </xf>
    <xf numFmtId="0" fontId="17" fillId="2" borderId="12" xfId="0" applyFont="1" applyFill="1" applyBorder="1" applyAlignment="1">
      <alignment horizontal="center" vertical="center"/>
    </xf>
    <xf numFmtId="0" fontId="36"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2" fillId="2" borderId="10" xfId="0" applyFont="1" applyFill="1" applyBorder="1" applyAlignment="1">
      <alignment vertical="center"/>
    </xf>
    <xf numFmtId="0" fontId="2" fillId="2" borderId="10" xfId="0" applyFont="1" applyFill="1" applyBorder="1" applyAlignment="1">
      <alignment horizontal="left" vertical="center"/>
    </xf>
    <xf numFmtId="2" fontId="36" fillId="2" borderId="0" xfId="0" applyNumberFormat="1" applyFont="1" applyFill="1" applyBorder="1" applyAlignment="1">
      <alignment horizontal="center" vertical="center" wrapText="1"/>
    </xf>
    <xf numFmtId="168" fontId="36" fillId="2" borderId="0" xfId="0" applyNumberFormat="1" applyFont="1" applyFill="1" applyBorder="1" applyAlignment="1">
      <alignment horizontal="center" vertical="center" wrapText="1"/>
    </xf>
    <xf numFmtId="0" fontId="0" fillId="2" borderId="11" xfId="0" applyFill="1" applyBorder="1" applyAlignment="1">
      <alignment horizontal="left" vertical="top"/>
    </xf>
    <xf numFmtId="168" fontId="0" fillId="3" borderId="0" xfId="0" applyNumberFormat="1" applyFont="1" applyFill="1" applyBorder="1" applyAlignment="1">
      <alignment horizontal="center" vertical="center" wrapText="1"/>
    </xf>
    <xf numFmtId="168" fontId="0" fillId="3" borderId="0" xfId="0" applyNumberFormat="1" applyFont="1" applyFill="1" applyBorder="1" applyAlignment="1">
      <alignment horizontal="center"/>
    </xf>
    <xf numFmtId="168" fontId="0" fillId="3" borderId="13" xfId="0" applyNumberFormat="1" applyFont="1" applyFill="1" applyBorder="1" applyAlignment="1">
      <alignment horizontal="center"/>
    </xf>
    <xf numFmtId="168" fontId="0" fillId="3" borderId="12" xfId="0" applyNumberFormat="1" applyFont="1" applyFill="1" applyBorder="1" applyAlignment="1">
      <alignment horizontal="center" vertical="center"/>
    </xf>
    <xf numFmtId="168" fontId="0" fillId="3" borderId="0" xfId="0" applyNumberFormat="1" applyFont="1" applyFill="1" applyBorder="1" applyAlignment="1">
      <alignment horizontal="center" vertical="center"/>
    </xf>
    <xf numFmtId="0" fontId="33" fillId="2" borderId="0" xfId="0" applyFont="1" applyFill="1" applyBorder="1" applyAlignment="1">
      <alignment horizontal="center" wrapText="1"/>
    </xf>
    <xf numFmtId="165" fontId="36" fillId="2" borderId="0" xfId="0" applyNumberFormat="1" applyFont="1" applyFill="1" applyBorder="1" applyAlignment="1">
      <alignment horizontal="center" vertical="center" wrapText="1"/>
    </xf>
    <xf numFmtId="0" fontId="51" fillId="2" borderId="0" xfId="0" applyFont="1" applyFill="1" applyAlignment="1">
      <alignment horizontal="center" vertical="center" wrapText="1"/>
    </xf>
    <xf numFmtId="164" fontId="36" fillId="0" borderId="1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0" fontId="65" fillId="2" borderId="0" xfId="0" applyFont="1" applyFill="1" applyBorder="1" applyAlignment="1">
      <alignment horizontal="center" vertical="center" wrapText="1"/>
    </xf>
    <xf numFmtId="0" fontId="66" fillId="2" borderId="0" xfId="0" applyFont="1" applyFill="1" applyBorder="1" applyAlignment="1">
      <alignment horizontal="center" vertical="center"/>
    </xf>
    <xf numFmtId="165" fontId="0" fillId="2" borderId="0" xfId="0" applyNumberFormat="1"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10" xfId="0" applyFont="1" applyFill="1" applyBorder="1" applyAlignment="1">
      <alignment horizontal="center" vertical="center"/>
    </xf>
    <xf numFmtId="0" fontId="63" fillId="2" borderId="0" xfId="0" applyFont="1" applyFill="1" applyBorder="1" applyAlignment="1">
      <alignment horizontal="center"/>
    </xf>
    <xf numFmtId="0" fontId="65" fillId="2" borderId="0" xfId="0" applyFont="1" applyFill="1" applyAlignment="1">
      <alignment horizontal="center" vertical="center" wrapText="1"/>
    </xf>
    <xf numFmtId="164" fontId="36" fillId="2" borderId="10" xfId="0" applyNumberFormat="1" applyFont="1" applyFill="1" applyBorder="1" applyAlignment="1">
      <alignment horizontal="center" vertical="center" wrapText="1"/>
    </xf>
    <xf numFmtId="0" fontId="65" fillId="2" borderId="12" xfId="0" applyFont="1" applyFill="1" applyBorder="1" applyAlignment="1">
      <alignment horizontal="center" vertical="center" wrapText="1"/>
    </xf>
    <xf numFmtId="4" fontId="36" fillId="2" borderId="0" xfId="0" applyNumberFormat="1" applyFont="1" applyFill="1" applyBorder="1" applyAlignment="1">
      <alignment horizontal="center" vertical="center" wrapText="1"/>
    </xf>
    <xf numFmtId="0" fontId="0" fillId="0" borderId="16" xfId="0" applyFont="1" applyFill="1" applyBorder="1" applyAlignment="1">
      <alignment vertical="center"/>
    </xf>
    <xf numFmtId="0" fontId="36" fillId="2" borderId="0" xfId="0" applyFont="1" applyFill="1" applyBorder="1" applyAlignment="1">
      <alignment horizontal="center" vertical="center" wrapText="1"/>
    </xf>
    <xf numFmtId="168" fontId="0" fillId="2" borderId="0" xfId="0" applyNumberFormat="1" applyFont="1" applyFill="1" applyBorder="1" applyAlignment="1">
      <alignment horizontal="center" vertical="center"/>
    </xf>
    <xf numFmtId="168" fontId="0" fillId="2" borderId="0" xfId="0" applyNumberFormat="1" applyFont="1" applyFill="1" applyBorder="1" applyAlignment="1">
      <alignment horizontal="center" vertical="center" wrapText="1"/>
    </xf>
    <xf numFmtId="0" fontId="0" fillId="2" borderId="12" xfId="0" applyFill="1" applyBorder="1" applyAlignment="1">
      <alignment horizontal="left" vertical="top"/>
    </xf>
    <xf numFmtId="0" fontId="0" fillId="2" borderId="10" xfId="0" applyFill="1" applyBorder="1" applyAlignment="1">
      <alignment horizontal="left" vertical="top"/>
    </xf>
    <xf numFmtId="0" fontId="0" fillId="2" borderId="10" xfId="0" applyFill="1" applyBorder="1" applyAlignment="1">
      <alignment vertical="center"/>
    </xf>
    <xf numFmtId="0" fontId="68" fillId="2" borderId="5" xfId="0" applyFont="1" applyFill="1" applyBorder="1" applyAlignment="1">
      <alignment vertical="center"/>
    </xf>
    <xf numFmtId="0" fontId="67" fillId="2" borderId="5" xfId="0" applyFont="1" applyFill="1" applyBorder="1" applyAlignment="1">
      <alignment vertical="center"/>
    </xf>
    <xf numFmtId="0" fontId="69" fillId="3" borderId="10" xfId="0" applyFont="1" applyFill="1" applyBorder="1" applyAlignment="1">
      <alignment horizontal="center" vertical="center" wrapText="1"/>
    </xf>
    <xf numFmtId="0" fontId="69" fillId="2" borderId="0" xfId="0" applyFont="1" applyFill="1" applyBorder="1" applyAlignment="1">
      <alignment horizontal="center" vertical="center"/>
    </xf>
    <xf numFmtId="0" fontId="69" fillId="3" borderId="11" xfId="0" applyFont="1" applyFill="1" applyBorder="1" applyAlignment="1">
      <alignment horizontal="center" vertical="center" wrapText="1"/>
    </xf>
    <xf numFmtId="0" fontId="50" fillId="2" borderId="0" xfId="0" applyFont="1" applyFill="1" applyBorder="1" applyAlignment="1">
      <alignment horizontal="center" vertical="center"/>
    </xf>
    <xf numFmtId="0" fontId="69" fillId="3" borderId="11" xfId="0" applyFont="1" applyFill="1" applyBorder="1" applyAlignment="1">
      <alignment horizontal="center" vertical="center"/>
    </xf>
    <xf numFmtId="0" fontId="0" fillId="2" borderId="0" xfId="0" applyFont="1" applyFill="1"/>
    <xf numFmtId="0" fontId="70" fillId="2" borderId="0" xfId="0" applyFont="1" applyFill="1" applyBorder="1" applyAlignment="1">
      <alignment horizontal="center" vertical="center"/>
    </xf>
    <xf numFmtId="0" fontId="46" fillId="2" borderId="10" xfId="0" applyFont="1" applyFill="1" applyBorder="1" applyAlignment="1">
      <alignment horizontal="center" vertical="top" wrapText="1"/>
    </xf>
    <xf numFmtId="0" fontId="71" fillId="2" borderId="10" xfId="0" applyFont="1" applyFill="1" applyBorder="1" applyAlignment="1">
      <alignment horizontal="center" vertical="top" wrapText="1"/>
    </xf>
    <xf numFmtId="0" fontId="3" fillId="2" borderId="4" xfId="0" applyFont="1" applyFill="1" applyBorder="1" applyAlignment="1">
      <alignment horizontal="center"/>
    </xf>
    <xf numFmtId="0" fontId="0" fillId="2" borderId="0" xfId="0" applyFont="1" applyFill="1" applyAlignment="1">
      <alignment horizontal="center"/>
    </xf>
    <xf numFmtId="0" fontId="3" fillId="2" borderId="5" xfId="0" applyFont="1" applyFill="1" applyBorder="1" applyAlignment="1">
      <alignment horizontal="center"/>
    </xf>
    <xf numFmtId="0" fontId="70" fillId="2" borderId="0" xfId="0" applyFont="1" applyFill="1" applyBorder="1" applyAlignment="1">
      <alignment horizontal="center" vertical="center" wrapText="1"/>
    </xf>
    <xf numFmtId="0" fontId="70" fillId="2" borderId="0" xfId="0" applyFont="1" applyFill="1" applyBorder="1" applyAlignment="1">
      <alignment horizontal="center" wrapText="1"/>
    </xf>
    <xf numFmtId="0" fontId="72" fillId="2" borderId="0" xfId="0" applyFont="1" applyFill="1" applyBorder="1" applyAlignment="1">
      <alignment horizontal="center" vertical="top" wrapText="1"/>
    </xf>
    <xf numFmtId="0" fontId="46" fillId="2" borderId="0" xfId="0" applyFont="1" applyFill="1" applyBorder="1" applyAlignment="1">
      <alignment horizontal="center" vertical="top" wrapText="1"/>
    </xf>
    <xf numFmtId="0" fontId="0" fillId="3" borderId="0" xfId="0" applyFont="1" applyFill="1" applyBorder="1" applyAlignment="1">
      <alignment vertical="center" wrapText="1"/>
    </xf>
    <xf numFmtId="0" fontId="0" fillId="3" borderId="10" xfId="0" applyFont="1" applyFill="1" applyBorder="1" applyAlignment="1">
      <alignment horizontal="center" vertical="center"/>
    </xf>
    <xf numFmtId="0" fontId="33" fillId="2" borderId="32" xfId="0" applyFont="1" applyFill="1" applyBorder="1" applyAlignment="1">
      <alignment horizontal="center" vertical="center" wrapText="1"/>
    </xf>
    <xf numFmtId="3" fontId="61" fillId="2" borderId="32" xfId="0" applyNumberFormat="1" applyFont="1" applyFill="1" applyBorder="1" applyAlignment="1">
      <alignment horizontal="center"/>
    </xf>
    <xf numFmtId="3" fontId="61" fillId="2" borderId="31" xfId="0" applyNumberFormat="1" applyFont="1" applyFill="1" applyBorder="1" applyAlignment="1">
      <alignment horizontal="center"/>
    </xf>
    <xf numFmtId="0" fontId="36" fillId="2" borderId="0"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2" fillId="0" borderId="16" xfId="0" applyFont="1" applyFill="1" applyBorder="1" applyAlignment="1">
      <alignment vertical="center"/>
    </xf>
    <xf numFmtId="168" fontId="1" fillId="0" borderId="16" xfId="6" applyNumberFormat="1" applyFont="1" applyFill="1" applyBorder="1" applyAlignment="1">
      <alignment vertical="center"/>
    </xf>
    <xf numFmtId="0" fontId="1" fillId="0" borderId="16" xfId="0" applyFont="1" applyFill="1" applyBorder="1" applyAlignment="1">
      <alignment vertical="center"/>
    </xf>
    <xf numFmtId="9" fontId="1" fillId="0" borderId="16" xfId="6" applyFont="1" applyFill="1" applyBorder="1" applyAlignment="1">
      <alignment vertical="center"/>
    </xf>
    <xf numFmtId="9" fontId="0" fillId="0" borderId="16" xfId="6" applyFont="1" applyFill="1" applyBorder="1" applyAlignment="1">
      <alignment vertical="center"/>
    </xf>
    <xf numFmtId="0" fontId="25" fillId="0" borderId="16" xfId="0" applyFont="1" applyFill="1" applyBorder="1" applyAlignment="1">
      <alignment vertical="center"/>
    </xf>
    <xf numFmtId="2" fontId="1" fillId="0" borderId="16" xfId="0" applyNumberFormat="1" applyFont="1" applyFill="1" applyBorder="1" applyAlignment="1">
      <alignment vertical="center"/>
    </xf>
    <xf numFmtId="168" fontId="1" fillId="0" borderId="16" xfId="0" applyNumberFormat="1" applyFont="1" applyFill="1" applyBorder="1" applyAlignment="1">
      <alignment vertical="center"/>
    </xf>
    <xf numFmtId="0" fontId="12" fillId="2" borderId="0" xfId="0" applyFont="1" applyFill="1" applyBorder="1" applyAlignment="1">
      <alignment vertical="center"/>
    </xf>
    <xf numFmtId="0" fontId="35" fillId="2" borderId="16" xfId="0" applyFont="1" applyFill="1" applyBorder="1" applyAlignment="1">
      <alignment horizontal="left" vertical="center"/>
    </xf>
    <xf numFmtId="0" fontId="74" fillId="2" borderId="17" xfId="0" applyFont="1" applyFill="1" applyBorder="1" applyAlignment="1">
      <alignment horizontal="left" vertical="center"/>
    </xf>
    <xf numFmtId="0" fontId="75" fillId="2" borderId="0" xfId="0" applyFont="1" applyFill="1" applyBorder="1" applyAlignment="1">
      <alignment vertical="center" wrapText="1"/>
    </xf>
    <xf numFmtId="0" fontId="76" fillId="2" borderId="12" xfId="0" applyFont="1" applyFill="1" applyBorder="1" applyAlignment="1">
      <alignment vertical="center"/>
    </xf>
    <xf numFmtId="0" fontId="76" fillId="2" borderId="0" xfId="0" applyFont="1" applyFill="1" applyBorder="1" applyAlignment="1">
      <alignment vertical="center"/>
    </xf>
    <xf numFmtId="0" fontId="77" fillId="2" borderId="10" xfId="0" applyFont="1" applyFill="1" applyBorder="1" applyAlignment="1">
      <alignment vertical="center" wrapText="1"/>
    </xf>
    <xf numFmtId="0" fontId="77" fillId="2" borderId="0" xfId="0" applyFont="1" applyFill="1" applyBorder="1" applyAlignment="1">
      <alignment vertical="center" wrapText="1"/>
    </xf>
    <xf numFmtId="0" fontId="75" fillId="2" borderId="18" xfId="0" applyFont="1" applyFill="1" applyBorder="1" applyAlignment="1">
      <alignment vertical="center" wrapText="1"/>
    </xf>
    <xf numFmtId="0" fontId="78" fillId="2" borderId="0" xfId="0" applyFont="1" applyFill="1" applyBorder="1" applyAlignment="1">
      <alignment vertical="center" wrapText="1"/>
    </xf>
    <xf numFmtId="0" fontId="75" fillId="2" borderId="10" xfId="0" applyFont="1" applyFill="1" applyBorder="1" applyAlignment="1">
      <alignment vertical="center" wrapText="1"/>
    </xf>
    <xf numFmtId="0" fontId="0" fillId="3" borderId="27" xfId="0" applyFont="1" applyFill="1" applyBorder="1" applyAlignment="1">
      <alignment horizontal="center" vertical="center" wrapText="1"/>
    </xf>
    <xf numFmtId="167" fontId="36" fillId="2"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6" fillId="0" borderId="0"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10"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wrapText="1"/>
    </xf>
    <xf numFmtId="0" fontId="36" fillId="0" borderId="0" xfId="0" quotePrefix="1" applyNumberFormat="1" applyFont="1" applyFill="1" applyBorder="1" applyAlignment="1">
      <alignment horizontal="center" vertical="center" wrapText="1"/>
    </xf>
    <xf numFmtId="0" fontId="36" fillId="0" borderId="10" xfId="0" applyNumberFormat="1" applyFont="1" applyFill="1" applyBorder="1" applyAlignment="1">
      <alignment horizontal="center" vertical="center"/>
    </xf>
    <xf numFmtId="0" fontId="25" fillId="0" borderId="0" xfId="0" applyFont="1" applyFill="1" applyBorder="1" applyAlignment="1">
      <alignment vertical="center"/>
    </xf>
    <xf numFmtId="0" fontId="1" fillId="0" borderId="10" xfId="0" applyFont="1" applyFill="1" applyBorder="1" applyAlignment="1">
      <alignment vertical="center"/>
    </xf>
    <xf numFmtId="9" fontId="1" fillId="0" borderId="10" xfId="6"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168" fontId="1" fillId="0" borderId="17" xfId="6" applyNumberFormat="1" applyFont="1" applyFill="1" applyBorder="1" applyAlignment="1">
      <alignment vertical="center"/>
    </xf>
    <xf numFmtId="168" fontId="1" fillId="0" borderId="10" xfId="6" applyNumberFormat="1" applyFont="1" applyFill="1" applyBorder="1" applyAlignment="1">
      <alignment vertical="center"/>
    </xf>
    <xf numFmtId="168" fontId="1" fillId="0" borderId="18" xfId="6" applyNumberFormat="1" applyFont="1" applyFill="1" applyBorder="1" applyAlignment="1">
      <alignment vertical="center"/>
    </xf>
    <xf numFmtId="0" fontId="17" fillId="5" borderId="12" xfId="0" applyFont="1" applyFill="1" applyBorder="1" applyAlignment="1">
      <alignment horizontal="left" vertical="center"/>
    </xf>
    <xf numFmtId="0" fontId="2" fillId="5" borderId="12" xfId="0" applyFont="1" applyFill="1" applyBorder="1" applyAlignment="1">
      <alignment horizontal="left" vertical="top"/>
    </xf>
    <xf numFmtId="0" fontId="10" fillId="5" borderId="12" xfId="0" applyFont="1" applyFill="1" applyBorder="1" applyAlignment="1">
      <alignment horizontal="left" vertical="center"/>
    </xf>
    <xf numFmtId="0" fontId="17" fillId="5" borderId="12" xfId="0" applyFont="1" applyFill="1" applyBorder="1" applyAlignment="1">
      <alignment horizontal="center" vertical="center"/>
    </xf>
    <xf numFmtId="0" fontId="34" fillId="5" borderId="0" xfId="0" applyNumberFormat="1" applyFont="1" applyFill="1" applyBorder="1" applyAlignment="1">
      <alignment horizontal="center" vertical="center"/>
    </xf>
    <xf numFmtId="0" fontId="0" fillId="5" borderId="0" xfId="0" applyFont="1" applyFill="1" applyBorder="1" applyAlignment="1">
      <alignment vertical="center"/>
    </xf>
    <xf numFmtId="0" fontId="1" fillId="5" borderId="0" xfId="0" applyFont="1" applyFill="1" applyBorder="1" applyAlignment="1">
      <alignment vertical="center"/>
    </xf>
    <xf numFmtId="0" fontId="1" fillId="5" borderId="16" xfId="0" applyFont="1" applyFill="1" applyBorder="1" applyAlignment="1">
      <alignment vertical="center"/>
    </xf>
    <xf numFmtId="0" fontId="1" fillId="5" borderId="9" xfId="0" applyFont="1" applyFill="1" applyBorder="1" applyAlignment="1">
      <alignment vertical="center"/>
    </xf>
    <xf numFmtId="168" fontId="1" fillId="5" borderId="16" xfId="6" applyNumberFormat="1" applyFont="1" applyFill="1" applyBorder="1" applyAlignment="1">
      <alignment vertical="center"/>
    </xf>
    <xf numFmtId="168" fontId="1" fillId="5" borderId="0" xfId="6" applyNumberFormat="1" applyFont="1" applyFill="1" applyBorder="1" applyAlignment="1">
      <alignment vertical="center"/>
    </xf>
    <xf numFmtId="168" fontId="1" fillId="5" borderId="9" xfId="6" applyNumberFormat="1" applyFont="1" applyFill="1" applyBorder="1" applyAlignment="1">
      <alignment vertical="center"/>
    </xf>
    <xf numFmtId="0" fontId="17" fillId="5" borderId="0" xfId="0" applyFont="1" applyFill="1" applyBorder="1" applyAlignment="1">
      <alignment horizontal="left" vertical="center"/>
    </xf>
    <xf numFmtId="0" fontId="2" fillId="5" borderId="0" xfId="0" applyFont="1" applyFill="1" applyBorder="1" applyAlignment="1">
      <alignment horizontal="left" vertical="top"/>
    </xf>
    <xf numFmtId="0" fontId="10" fillId="5" borderId="0" xfId="0" applyFont="1" applyFill="1" applyBorder="1" applyAlignment="1">
      <alignment horizontal="left" vertical="center"/>
    </xf>
    <xf numFmtId="0" fontId="17" fillId="5" borderId="0" xfId="0" applyFont="1" applyFill="1" applyBorder="1" applyAlignment="1">
      <alignment horizontal="center" vertical="center"/>
    </xf>
    <xf numFmtId="0" fontId="17" fillId="5" borderId="12" xfId="0" applyFont="1" applyFill="1" applyBorder="1" applyAlignment="1">
      <alignment horizontal="center"/>
    </xf>
    <xf numFmtId="0" fontId="63" fillId="5" borderId="12" xfId="0" applyFont="1" applyFill="1" applyBorder="1" applyAlignment="1">
      <alignment horizontal="center" vertical="center"/>
    </xf>
    <xf numFmtId="0" fontId="63" fillId="5" borderId="12" xfId="0" applyFont="1" applyFill="1" applyBorder="1" applyAlignment="1">
      <alignment horizontal="center"/>
    </xf>
    <xf numFmtId="0" fontId="34" fillId="5" borderId="0" xfId="0" applyNumberFormat="1" applyFont="1" applyFill="1" applyBorder="1" applyAlignment="1">
      <alignment horizontal="center"/>
    </xf>
    <xf numFmtId="0" fontId="9" fillId="5" borderId="0" xfId="0" applyFont="1" applyFill="1" applyBorder="1" applyAlignment="1">
      <alignment horizontal="center" vertical="center" wrapText="1"/>
    </xf>
    <xf numFmtId="0" fontId="51" fillId="5" borderId="0" xfId="0" applyNumberFormat="1" applyFont="1" applyFill="1" applyBorder="1" applyAlignment="1">
      <alignment horizontal="center" vertical="center" wrapText="1"/>
    </xf>
    <xf numFmtId="0" fontId="65" fillId="5" borderId="12" xfId="0" applyFont="1" applyFill="1" applyBorder="1" applyAlignment="1">
      <alignment horizontal="center" vertical="center" wrapText="1"/>
    </xf>
    <xf numFmtId="0" fontId="23" fillId="5" borderId="0" xfId="0" applyFont="1" applyFill="1" applyBorder="1" applyAlignment="1">
      <alignment horizontal="left" vertical="center"/>
    </xf>
    <xf numFmtId="0" fontId="0" fillId="5" borderId="0" xfId="0" applyFont="1" applyFill="1" applyBorder="1" applyAlignment="1">
      <alignment vertical="center" wrapText="1"/>
    </xf>
    <xf numFmtId="0" fontId="36" fillId="5" borderId="0" xfId="0" applyFont="1" applyFill="1" applyBorder="1" applyAlignment="1">
      <alignment horizontal="center" vertical="center" wrapText="1"/>
    </xf>
    <xf numFmtId="0" fontId="36" fillId="5" borderId="0" xfId="0" applyNumberFormat="1" applyFont="1" applyFill="1" applyBorder="1" applyAlignment="1">
      <alignment horizontal="center" vertical="center" wrapText="1"/>
    </xf>
    <xf numFmtId="9" fontId="1" fillId="5" borderId="0" xfId="6" applyFont="1" applyFill="1" applyBorder="1" applyAlignment="1">
      <alignment vertical="center"/>
    </xf>
    <xf numFmtId="0" fontId="18" fillId="2" borderId="0" xfId="0" applyFont="1" applyFill="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67" fillId="2" borderId="0" xfId="0" applyFont="1" applyFill="1" applyBorder="1" applyAlignment="1">
      <alignment vertical="center"/>
    </xf>
    <xf numFmtId="0" fontId="73" fillId="2" borderId="0" xfId="0" applyFont="1" applyFill="1" applyBorder="1" applyAlignment="1">
      <alignment horizontal="left" vertical="center"/>
    </xf>
    <xf numFmtId="0" fontId="0" fillId="5" borderId="11" xfId="0" applyFont="1" applyFill="1" applyBorder="1" applyAlignment="1">
      <alignment vertical="center"/>
    </xf>
    <xf numFmtId="0" fontId="0" fillId="5" borderId="11" xfId="0" applyFont="1" applyFill="1" applyBorder="1" applyAlignment="1">
      <alignment horizontal="left" vertical="top"/>
    </xf>
    <xf numFmtId="0" fontId="1" fillId="0" borderId="0" xfId="6" applyNumberFormat="1" applyFont="1" applyFill="1" applyBorder="1" applyAlignment="1">
      <alignment vertical="center"/>
    </xf>
    <xf numFmtId="0" fontId="79" fillId="2" borderId="0" xfId="0" applyFont="1" applyFill="1" applyAlignment="1">
      <alignment vertical="center"/>
    </xf>
    <xf numFmtId="0" fontId="80" fillId="2" borderId="0" xfId="0" applyFont="1" applyFill="1" applyBorder="1" applyAlignment="1">
      <alignment horizontal="center" vertical="center"/>
    </xf>
    <xf numFmtId="0" fontId="79" fillId="2" borderId="0" xfId="0" applyFont="1" applyFill="1" applyBorder="1" applyAlignment="1">
      <alignment horizontal="left" vertical="center"/>
    </xf>
    <xf numFmtId="0" fontId="79" fillId="2" borderId="10" xfId="0" applyFont="1" applyFill="1" applyBorder="1" applyAlignment="1">
      <alignment horizontal="left" vertical="center"/>
    </xf>
    <xf numFmtId="0" fontId="80" fillId="2" borderId="0" xfId="0" applyFont="1" applyFill="1" applyBorder="1" applyAlignment="1">
      <alignment horizontal="center" vertical="center" wrapText="1"/>
    </xf>
    <xf numFmtId="0" fontId="79" fillId="2" borderId="0" xfId="0" applyFont="1" applyFill="1" applyBorder="1" applyAlignment="1">
      <alignment vertical="center"/>
    </xf>
    <xf numFmtId="0" fontId="79" fillId="2" borderId="0" xfId="0" applyFont="1" applyFill="1" applyBorder="1" applyAlignment="1">
      <alignment horizontal="center" vertical="center"/>
    </xf>
    <xf numFmtId="0" fontId="79" fillId="2" borderId="0" xfId="0" applyFont="1" applyFill="1" applyBorder="1" applyAlignment="1">
      <alignment horizontal="left" vertical="top"/>
    </xf>
    <xf numFmtId="0" fontId="79" fillId="2" borderId="10" xfId="0" applyFont="1" applyFill="1" applyBorder="1" applyAlignment="1">
      <alignment horizontal="left" vertical="top"/>
    </xf>
    <xf numFmtId="0" fontId="80" fillId="2" borderId="0" xfId="0" applyFont="1" applyFill="1" applyBorder="1" applyAlignment="1">
      <alignment horizontal="center"/>
    </xf>
    <xf numFmtId="0" fontId="82" fillId="2" borderId="10" xfId="0" applyFont="1" applyFill="1" applyBorder="1" applyAlignment="1">
      <alignment horizontal="center" vertical="top" wrapText="1"/>
    </xf>
    <xf numFmtId="0" fontId="82" fillId="2" borderId="0" xfId="0" applyFont="1" applyFill="1" applyBorder="1" applyAlignment="1">
      <alignment horizontal="center" wrapText="1"/>
    </xf>
    <xf numFmtId="1" fontId="79" fillId="2" borderId="10" xfId="0" applyNumberFormat="1" applyFont="1" applyFill="1" applyBorder="1" applyAlignment="1">
      <alignment vertical="center" wrapText="1"/>
    </xf>
    <xf numFmtId="0" fontId="79" fillId="2" borderId="7" xfId="0" applyFont="1" applyFill="1" applyBorder="1" applyAlignment="1">
      <alignment vertical="center"/>
    </xf>
    <xf numFmtId="0" fontId="81" fillId="2" borderId="0" xfId="0" applyFont="1" applyFill="1" applyBorder="1" applyAlignment="1">
      <alignment vertical="center"/>
    </xf>
    <xf numFmtId="0" fontId="82" fillId="2" borderId="0" xfId="0" applyFont="1" applyFill="1" applyBorder="1" applyAlignment="1">
      <alignment horizontal="left" vertical="top" wrapText="1"/>
    </xf>
    <xf numFmtId="0" fontId="82" fillId="2" borderId="0" xfId="0" applyFont="1" applyFill="1" applyBorder="1" applyAlignment="1">
      <alignment horizontal="left" vertical="center" wrapText="1"/>
    </xf>
    <xf numFmtId="0" fontId="82" fillId="2" borderId="0" xfId="0" applyFont="1" applyFill="1" applyBorder="1" applyAlignment="1">
      <alignment vertical="center" wrapText="1"/>
    </xf>
    <xf numFmtId="0" fontId="0" fillId="3" borderId="25" xfId="0" applyFill="1" applyBorder="1" applyAlignment="1">
      <alignment horizontal="center" vertical="center" wrapText="1"/>
    </xf>
    <xf numFmtId="0" fontId="17" fillId="2" borderId="12" xfId="0" applyFont="1" applyFill="1" applyBorder="1" applyAlignment="1">
      <alignment horizontal="center" vertical="center"/>
    </xf>
    <xf numFmtId="0" fontId="0" fillId="3" borderId="25"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Border="1" applyAlignment="1">
      <alignment horizontal="left" vertical="center"/>
    </xf>
    <xf numFmtId="0" fontId="0" fillId="3" borderId="24" xfId="0" applyFill="1" applyBorder="1" applyAlignment="1">
      <alignment horizontal="center" vertical="center" wrapText="1"/>
    </xf>
    <xf numFmtId="0" fontId="0" fillId="2" borderId="0" xfId="0" applyFill="1" applyBorder="1" applyAlignment="1">
      <alignment horizontal="left" vertical="top" wrapText="1"/>
    </xf>
    <xf numFmtId="0" fontId="17" fillId="2" borderId="11" xfId="0" applyFont="1" applyFill="1" applyBorder="1" applyAlignment="1">
      <alignment horizontal="center" vertical="center"/>
    </xf>
    <xf numFmtId="0" fontId="20" fillId="2" borderId="9" xfId="0" applyFont="1" applyFill="1" applyBorder="1" applyAlignment="1">
      <alignment horizontal="left" vertical="top" wrapText="1"/>
    </xf>
    <xf numFmtId="0" fontId="36" fillId="2" borderId="0" xfId="0" applyFont="1" applyFill="1" applyBorder="1" applyAlignment="1">
      <alignment horizontal="center" vertical="center" wrapText="1"/>
    </xf>
    <xf numFmtId="0" fontId="17"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83" fillId="2" borderId="0" xfId="0" applyFont="1" applyFill="1" applyAlignment="1">
      <alignment vertical="center"/>
    </xf>
    <xf numFmtId="0" fontId="84" fillId="2" borderId="0" xfId="0" applyFont="1" applyFill="1" applyBorder="1" applyAlignment="1">
      <alignment horizontal="center" vertical="center"/>
    </xf>
    <xf numFmtId="0" fontId="83" fillId="2" borderId="0" xfId="0" applyFont="1" applyFill="1" applyBorder="1" applyAlignment="1">
      <alignment horizontal="left" vertical="center"/>
    </xf>
    <xf numFmtId="0" fontId="83" fillId="2" borderId="10" xfId="0" applyFont="1" applyFill="1" applyBorder="1" applyAlignment="1">
      <alignment horizontal="left" vertical="center"/>
    </xf>
    <xf numFmtId="0" fontId="83" fillId="2" borderId="0" xfId="0" applyFont="1" applyFill="1" applyBorder="1" applyAlignment="1">
      <alignment horizontal="center" vertical="center"/>
    </xf>
    <xf numFmtId="0" fontId="83" fillId="2" borderId="0" xfId="0" applyFont="1" applyFill="1" applyBorder="1" applyAlignment="1">
      <alignment horizontal="left" vertical="top"/>
    </xf>
    <xf numFmtId="0" fontId="83" fillId="2" borderId="10" xfId="0" applyFont="1" applyFill="1" applyBorder="1" applyAlignment="1">
      <alignment horizontal="left" vertical="top"/>
    </xf>
    <xf numFmtId="0" fontId="19" fillId="2" borderId="0" xfId="0" applyFont="1" applyFill="1" applyBorder="1" applyAlignment="1">
      <alignment horizontal="center" vertical="center"/>
    </xf>
    <xf numFmtId="0" fontId="19" fillId="2" borderId="0" xfId="0" applyFont="1" applyFill="1" applyBorder="1" applyAlignment="1">
      <alignment horizontal="center"/>
    </xf>
    <xf numFmtId="0" fontId="85" fillId="2" borderId="0" xfId="0" applyFont="1" applyFill="1" applyBorder="1" applyAlignment="1">
      <alignment horizontal="center"/>
    </xf>
    <xf numFmtId="0" fontId="69" fillId="2" borderId="0" xfId="0" applyFont="1" applyFill="1" applyBorder="1" applyAlignment="1">
      <alignment horizontal="center" wrapText="1"/>
    </xf>
    <xf numFmtId="0" fontId="19" fillId="2" borderId="0" xfId="0" applyFont="1" applyFill="1" applyBorder="1" applyAlignment="1">
      <alignment horizontal="center" vertical="center" wrapText="1"/>
    </xf>
    <xf numFmtId="168" fontId="70" fillId="2" borderId="10" xfId="0" applyNumberFormat="1" applyFont="1" applyFill="1" applyBorder="1" applyAlignment="1">
      <alignment horizontal="center" vertical="center" wrapText="1"/>
    </xf>
    <xf numFmtId="0" fontId="83" fillId="2" borderId="7" xfId="0" applyFont="1" applyFill="1" applyBorder="1" applyAlignment="1">
      <alignment vertical="center"/>
    </xf>
    <xf numFmtId="0" fontId="83" fillId="2" borderId="0" xfId="0" applyFont="1" applyFill="1" applyBorder="1" applyAlignment="1">
      <alignment vertical="center"/>
    </xf>
    <xf numFmtId="0" fontId="83" fillId="2" borderId="0" xfId="0" applyFont="1" applyFill="1"/>
    <xf numFmtId="0" fontId="50" fillId="2" borderId="0" xfId="0" applyFont="1" applyFill="1" applyBorder="1" applyAlignment="1">
      <alignment vertical="center"/>
    </xf>
    <xf numFmtId="0" fontId="24" fillId="2" borderId="0" xfId="0" applyFont="1" applyFill="1" applyBorder="1" applyAlignment="1">
      <alignment vertical="center" wrapText="1"/>
    </xf>
    <xf numFmtId="0" fontId="36" fillId="2" borderId="0" xfId="0" applyNumberFormat="1" applyFont="1" applyFill="1" applyBorder="1" applyAlignment="1">
      <alignment horizontal="center" vertical="center"/>
    </xf>
    <xf numFmtId="0" fontId="36" fillId="2" borderId="10" xfId="0" applyNumberFormat="1" applyFont="1" applyFill="1" applyBorder="1" applyAlignment="1">
      <alignment horizontal="center" vertical="center"/>
    </xf>
    <xf numFmtId="0" fontId="29" fillId="2" borderId="0" xfId="0" applyFont="1" applyFill="1" applyBorder="1" applyAlignment="1">
      <alignment horizontal="center" wrapText="1"/>
    </xf>
    <xf numFmtId="168" fontId="36" fillId="2" borderId="0" xfId="0" applyNumberFormat="1" applyFont="1" applyFill="1" applyBorder="1" applyAlignment="1">
      <alignment horizontal="center" vertical="center"/>
    </xf>
    <xf numFmtId="1" fontId="36" fillId="2" borderId="0" xfId="0" applyNumberFormat="1" applyFont="1" applyFill="1" applyBorder="1" applyAlignment="1">
      <alignment horizontal="center" vertical="center"/>
    </xf>
    <xf numFmtId="168" fontId="36" fillId="2" borderId="10" xfId="0" applyNumberFormat="1" applyFont="1" applyFill="1" applyBorder="1" applyAlignment="1">
      <alignment horizontal="center" vertical="center"/>
    </xf>
    <xf numFmtId="1" fontId="36" fillId="2" borderId="10" xfId="0" applyNumberFormat="1" applyFont="1" applyFill="1" applyBorder="1" applyAlignment="1">
      <alignment horizontal="center" vertical="center"/>
    </xf>
    <xf numFmtId="1" fontId="0" fillId="3" borderId="0" xfId="0" applyNumberFormat="1" applyFill="1" applyBorder="1" applyAlignment="1">
      <alignment horizontal="center"/>
    </xf>
    <xf numFmtId="0" fontId="0" fillId="3" borderId="24" xfId="0" applyFill="1" applyBorder="1" applyAlignment="1">
      <alignment horizontal="left" vertical="top"/>
    </xf>
    <xf numFmtId="0" fontId="86" fillId="2" borderId="0" xfId="0" applyFont="1" applyFill="1" applyBorder="1" applyAlignment="1">
      <alignment horizontal="left" vertical="top"/>
    </xf>
    <xf numFmtId="0" fontId="77" fillId="2" borderId="17" xfId="0" applyFont="1" applyFill="1" applyBorder="1" applyAlignment="1">
      <alignment vertical="center"/>
    </xf>
    <xf numFmtId="0" fontId="0" fillId="3" borderId="0" xfId="0" applyFont="1" applyFill="1" applyBorder="1" applyAlignment="1">
      <alignment horizontal="left" vertical="top"/>
    </xf>
    <xf numFmtId="167" fontId="36" fillId="2" borderId="0" xfId="0" applyNumberFormat="1" applyFont="1" applyFill="1" applyBorder="1" applyAlignment="1">
      <alignment horizontal="left" vertical="center"/>
    </xf>
    <xf numFmtId="0" fontId="36" fillId="0" borderId="0" xfId="0" applyFont="1" applyFill="1" applyBorder="1" applyAlignment="1">
      <alignment horizontal="center" vertical="top"/>
    </xf>
    <xf numFmtId="172" fontId="61" fillId="2" borderId="0" xfId="5" applyNumberFormat="1" applyFont="1" applyFill="1" applyBorder="1" applyAlignment="1">
      <alignment horizontal="center"/>
    </xf>
    <xf numFmtId="172" fontId="35" fillId="2" borderId="0" xfId="5" applyNumberFormat="1" applyFont="1" applyFill="1" applyBorder="1" applyAlignment="1">
      <alignment horizontal="center"/>
    </xf>
    <xf numFmtId="172" fontId="35" fillId="2" borderId="7" xfId="5" applyNumberFormat="1" applyFont="1" applyFill="1" applyBorder="1" applyAlignment="1">
      <alignment horizontal="center"/>
    </xf>
    <xf numFmtId="0" fontId="2" fillId="2" borderId="0" xfId="0" applyFont="1" applyFill="1" applyBorder="1" applyAlignment="1">
      <alignment horizontal="left"/>
    </xf>
    <xf numFmtId="0" fontId="86" fillId="2" borderId="0" xfId="0" applyFont="1" applyFill="1" applyAlignment="1">
      <alignment vertical="center"/>
    </xf>
    <xf numFmtId="0" fontId="87" fillId="2" borderId="0" xfId="0" applyFont="1" applyFill="1" applyBorder="1" applyAlignment="1">
      <alignment horizontal="center" vertical="center"/>
    </xf>
    <xf numFmtId="0" fontId="88" fillId="3" borderId="12" xfId="0" applyFont="1" applyFill="1" applyBorder="1" applyAlignment="1">
      <alignment horizontal="center" vertical="center"/>
    </xf>
    <xf numFmtId="0" fontId="86" fillId="2" borderId="0" xfId="0" applyFont="1" applyFill="1" applyBorder="1" applyAlignment="1">
      <alignment horizontal="left" vertical="center"/>
    </xf>
    <xf numFmtId="0" fontId="86" fillId="2" borderId="10" xfId="0" applyFont="1" applyFill="1" applyBorder="1" applyAlignment="1">
      <alignment horizontal="left" vertical="center"/>
    </xf>
    <xf numFmtId="0" fontId="89" fillId="2" borderId="11" xfId="0" applyFont="1" applyFill="1" applyBorder="1" applyAlignment="1">
      <alignment horizontal="center" vertical="center" wrapText="1"/>
    </xf>
    <xf numFmtId="0" fontId="90" fillId="2" borderId="0" xfId="0" applyFont="1" applyFill="1" applyBorder="1" applyAlignment="1">
      <alignment horizontal="center" vertical="center" wrapText="1"/>
    </xf>
    <xf numFmtId="0" fontId="89" fillId="2" borderId="10" xfId="0" applyFont="1" applyFill="1" applyBorder="1" applyAlignment="1">
      <alignment horizontal="center" vertical="center"/>
    </xf>
    <xf numFmtId="0" fontId="89" fillId="2" borderId="0" xfId="0" applyFont="1" applyFill="1" applyBorder="1" applyAlignment="1">
      <alignment horizontal="center" vertical="center"/>
    </xf>
    <xf numFmtId="0" fontId="86" fillId="2" borderId="0" xfId="0" applyFont="1" applyFill="1" applyBorder="1" applyAlignment="1">
      <alignment horizontal="center" vertical="center" wrapText="1"/>
    </xf>
    <xf numFmtId="0" fontId="89" fillId="2" borderId="12" xfId="0" applyFont="1" applyFill="1" applyBorder="1" applyAlignment="1">
      <alignment horizontal="center" vertical="center"/>
    </xf>
    <xf numFmtId="0" fontId="86" fillId="2" borderId="10" xfId="0" applyFont="1" applyFill="1" applyBorder="1" applyAlignment="1">
      <alignment horizontal="center" vertical="center" wrapText="1"/>
    </xf>
    <xf numFmtId="0" fontId="86" fillId="2" borderId="10" xfId="0" applyFont="1" applyFill="1" applyBorder="1" applyAlignment="1">
      <alignment vertical="center" wrapText="1"/>
    </xf>
    <xf numFmtId="0" fontId="89" fillId="2" borderId="0" xfId="0" applyFont="1" applyFill="1" applyBorder="1" applyAlignment="1">
      <alignment horizontal="left" vertical="center" wrapText="1"/>
    </xf>
    <xf numFmtId="0" fontId="86" fillId="2" borderId="0" xfId="0" applyFont="1" applyFill="1" applyBorder="1" applyAlignment="1">
      <alignment vertical="center" wrapText="1"/>
    </xf>
    <xf numFmtId="0" fontId="86" fillId="2" borderId="7" xfId="0" applyFont="1" applyFill="1" applyBorder="1" applyAlignment="1">
      <alignment vertical="center"/>
    </xf>
    <xf numFmtId="0" fontId="91" fillId="0" borderId="0" xfId="0" applyFont="1" applyFill="1" applyBorder="1" applyAlignment="1">
      <alignment horizontal="left" vertical="center"/>
    </xf>
    <xf numFmtId="0" fontId="91" fillId="2" borderId="0" xfId="0" applyFont="1" applyFill="1" applyBorder="1" applyAlignment="1">
      <alignment horizontal="left" vertical="center"/>
    </xf>
    <xf numFmtId="0" fontId="91" fillId="2" borderId="10" xfId="0" applyFont="1" applyFill="1" applyBorder="1" applyAlignment="1">
      <alignment horizontal="left" vertical="center"/>
    </xf>
    <xf numFmtId="0" fontId="0" fillId="2" borderId="10" xfId="0" applyFont="1" applyFill="1" applyBorder="1" applyAlignment="1">
      <alignment horizontal="left" vertical="center" wrapText="1"/>
    </xf>
    <xf numFmtId="0" fontId="17" fillId="2" borderId="10" xfId="0" applyFont="1" applyFill="1" applyBorder="1" applyAlignment="1">
      <alignment horizontal="left" vertical="center"/>
    </xf>
    <xf numFmtId="168" fontId="17" fillId="2" borderId="12" xfId="0" applyNumberFormat="1" applyFont="1" applyFill="1" applyBorder="1" applyAlignment="1">
      <alignment horizontal="center" vertical="center"/>
    </xf>
    <xf numFmtId="168" fontId="0" fillId="2" borderId="0" xfId="0" applyNumberFormat="1" applyFont="1" applyFill="1" applyBorder="1" applyAlignment="1">
      <alignment vertical="center" wrapText="1"/>
    </xf>
    <xf numFmtId="168" fontId="0" fillId="2" borderId="10" xfId="0" applyNumberFormat="1" applyFont="1" applyFill="1" applyBorder="1" applyAlignment="1">
      <alignment horizontal="center" vertical="center" wrapText="1"/>
    </xf>
    <xf numFmtId="168" fontId="17" fillId="2" borderId="0" xfId="0" applyNumberFormat="1" applyFont="1" applyFill="1" applyBorder="1" applyAlignment="1">
      <alignment horizontal="center" vertical="center"/>
    </xf>
    <xf numFmtId="168" fontId="0" fillId="2" borderId="10" xfId="0" applyNumberFormat="1" applyFont="1" applyFill="1" applyBorder="1" applyAlignment="1">
      <alignment vertical="center" wrapText="1"/>
    </xf>
    <xf numFmtId="168" fontId="17" fillId="2" borderId="10" xfId="0" applyNumberFormat="1" applyFont="1" applyFill="1" applyBorder="1" applyAlignment="1">
      <alignment horizontal="center" vertical="center"/>
    </xf>
    <xf numFmtId="168" fontId="9" fillId="2" borderId="0" xfId="0" applyNumberFormat="1" applyFont="1" applyFill="1" applyBorder="1" applyAlignment="1">
      <alignment horizontal="left" vertical="center" wrapText="1"/>
    </xf>
    <xf numFmtId="1" fontId="0" fillId="2" borderId="0" xfId="0" applyNumberFormat="1" applyFont="1" applyFill="1" applyBorder="1" applyAlignment="1">
      <alignment horizontal="center" vertical="center" wrapText="1"/>
    </xf>
    <xf numFmtId="1" fontId="70" fillId="2" borderId="10"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xf>
    <xf numFmtId="1" fontId="17" fillId="2" borderId="10" xfId="0" applyNumberFormat="1" applyFont="1" applyFill="1" applyBorder="1" applyAlignment="1">
      <alignment horizontal="center" vertical="center"/>
    </xf>
    <xf numFmtId="1" fontId="32" fillId="2" borderId="0" xfId="0" applyNumberFormat="1" applyFont="1" applyFill="1" applyBorder="1" applyAlignment="1">
      <alignment horizontal="center" vertical="top"/>
    </xf>
    <xf numFmtId="1" fontId="1" fillId="2" borderId="10" xfId="0" applyNumberFormat="1" applyFont="1" applyFill="1" applyBorder="1" applyAlignment="1">
      <alignment horizontal="center" vertical="center" wrapText="1"/>
    </xf>
    <xf numFmtId="1" fontId="32" fillId="2" borderId="10" xfId="0" applyNumberFormat="1" applyFont="1" applyFill="1" applyBorder="1" applyAlignment="1">
      <alignment horizontal="center" vertical="top"/>
    </xf>
    <xf numFmtId="1" fontId="57" fillId="2" borderId="12" xfId="0" applyNumberFormat="1" applyFont="1" applyFill="1" applyBorder="1" applyAlignment="1">
      <alignment horizontal="center" vertical="center"/>
    </xf>
    <xf numFmtId="1" fontId="57" fillId="2" borderId="0" xfId="0" applyNumberFormat="1" applyFont="1" applyFill="1" applyBorder="1" applyAlignment="1">
      <alignment horizontal="center" vertical="center"/>
    </xf>
    <xf numFmtId="1" fontId="57" fillId="2" borderId="10" xfId="0" applyNumberFormat="1" applyFont="1" applyFill="1" applyBorder="1" applyAlignment="1">
      <alignment horizontal="center" vertical="center"/>
    </xf>
    <xf numFmtId="1" fontId="1" fillId="2" borderId="0" xfId="0" applyNumberFormat="1" applyFont="1" applyFill="1" applyBorder="1" applyAlignment="1">
      <alignment horizontal="center" wrapText="1"/>
    </xf>
    <xf numFmtId="1" fontId="32" fillId="2" borderId="0" xfId="0" applyNumberFormat="1" applyFont="1" applyFill="1" applyBorder="1" applyAlignment="1">
      <alignment horizontal="center"/>
    </xf>
    <xf numFmtId="1" fontId="1" fillId="2" borderId="10" xfId="0" applyNumberFormat="1" applyFont="1" applyFill="1" applyBorder="1" applyAlignment="1">
      <alignment horizontal="center" wrapText="1"/>
    </xf>
    <xf numFmtId="1" fontId="32" fillId="2" borderId="10" xfId="0" applyNumberFormat="1" applyFont="1" applyFill="1" applyBorder="1" applyAlignment="1">
      <alignment horizontal="center"/>
    </xf>
    <xf numFmtId="1" fontId="57" fillId="2" borderId="0" xfId="0" applyNumberFormat="1" applyFont="1" applyFill="1" applyBorder="1" applyAlignment="1">
      <alignment horizontal="center"/>
    </xf>
    <xf numFmtId="1" fontId="32" fillId="2" borderId="0" xfId="0" applyNumberFormat="1" applyFont="1" applyFill="1" applyBorder="1" applyAlignment="1">
      <alignment horizontal="left" vertical="top"/>
    </xf>
    <xf numFmtId="1" fontId="32" fillId="2" borderId="10" xfId="0" applyNumberFormat="1" applyFont="1" applyFill="1" applyBorder="1" applyAlignment="1">
      <alignment horizontal="left" vertical="top"/>
    </xf>
    <xf numFmtId="1" fontId="58" fillId="2" borderId="0" xfId="0" applyNumberFormat="1" applyFont="1" applyFill="1" applyBorder="1" applyAlignment="1">
      <alignment horizontal="center" vertical="center"/>
    </xf>
    <xf numFmtId="1" fontId="1" fillId="2" borderId="0" xfId="5" applyNumberFormat="1" applyFont="1" applyFill="1" applyBorder="1" applyAlignment="1">
      <alignment horizontal="center" wrapText="1"/>
    </xf>
    <xf numFmtId="0" fontId="17" fillId="2" borderId="10" xfId="0" applyFont="1" applyFill="1" applyBorder="1" applyAlignment="1">
      <alignment horizontal="center" vertical="center" wrapText="1"/>
    </xf>
    <xf numFmtId="0" fontId="20" fillId="2" borderId="0" xfId="0" applyFont="1" applyFill="1" applyBorder="1" applyAlignment="1">
      <alignment horizontal="left" vertical="top"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6" fillId="9" borderId="21" xfId="0" applyFont="1" applyFill="1" applyBorder="1" applyAlignment="1">
      <alignment horizontal="left" vertical="center"/>
    </xf>
    <xf numFmtId="0" fontId="16" fillId="9" borderId="22" xfId="0" applyFont="1" applyFill="1" applyBorder="1" applyAlignment="1">
      <alignment horizontal="left" vertical="center"/>
    </xf>
    <xf numFmtId="0" fontId="16" fillId="9" borderId="23" xfId="0" applyFont="1" applyFill="1" applyBorder="1" applyAlignment="1">
      <alignment horizontal="left" vertical="center"/>
    </xf>
    <xf numFmtId="0" fontId="20" fillId="2" borderId="12" xfId="0" applyFont="1" applyFill="1" applyBorder="1" applyAlignment="1">
      <alignment horizontal="center" vertical="center" wrapText="1"/>
    </xf>
    <xf numFmtId="0" fontId="16" fillId="9" borderId="22" xfId="0" applyFont="1" applyFill="1" applyBorder="1" applyAlignment="1">
      <alignment horizontal="center" vertical="center"/>
    </xf>
    <xf numFmtId="0" fontId="16" fillId="9" borderId="23" xfId="0" applyFont="1" applyFill="1" applyBorder="1" applyAlignment="1">
      <alignment horizontal="center" vertical="center"/>
    </xf>
    <xf numFmtId="168" fontId="61" fillId="2" borderId="3" xfId="0" applyNumberFormat="1" applyFont="1" applyFill="1" applyBorder="1" applyAlignment="1">
      <alignment horizontal="center" vertical="center"/>
    </xf>
    <xf numFmtId="0" fontId="35" fillId="2" borderId="8" xfId="0" applyFont="1" applyFill="1" applyBorder="1" applyAlignment="1">
      <alignment horizontal="center" vertical="top"/>
    </xf>
    <xf numFmtId="0" fontId="20" fillId="2" borderId="0" xfId="0" applyFont="1" applyFill="1" applyBorder="1" applyAlignment="1">
      <alignment horizontal="left" vertical="top" wrapText="1"/>
    </xf>
    <xf numFmtId="0" fontId="20" fillId="2" borderId="9" xfId="0" applyFont="1" applyFill="1" applyBorder="1" applyAlignment="1">
      <alignment horizontal="lef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5" xfId="0" applyFont="1" applyFill="1" applyBorder="1" applyAlignment="1">
      <alignment horizontal="center" vertical="center"/>
    </xf>
    <xf numFmtId="0" fontId="20" fillId="2" borderId="0" xfId="0" applyFont="1" applyFill="1" applyBorder="1" applyAlignment="1">
      <alignment vertical="center" wrapText="1"/>
    </xf>
    <xf numFmtId="0" fontId="20" fillId="2" borderId="9" xfId="0" applyFont="1" applyFill="1" applyBorder="1" applyAlignment="1">
      <alignment vertical="center" wrapText="1"/>
    </xf>
    <xf numFmtId="0" fontId="94" fillId="2" borderId="0" xfId="0" applyFont="1" applyFill="1" applyBorder="1" applyAlignment="1">
      <alignment horizontal="left" vertical="center"/>
    </xf>
    <xf numFmtId="0" fontId="95" fillId="2" borderId="0" xfId="0" applyFont="1" applyFill="1" applyBorder="1" applyAlignment="1">
      <alignment horizontal="center" vertical="center"/>
    </xf>
    <xf numFmtId="0" fontId="17" fillId="2" borderId="11" xfId="0" applyFont="1" applyFill="1" applyBorder="1" applyAlignment="1">
      <alignment vertical="center"/>
    </xf>
    <xf numFmtId="2" fontId="36" fillId="2" borderId="0" xfId="0" applyNumberFormat="1" applyFont="1" applyFill="1" applyBorder="1" applyAlignment="1">
      <alignment vertical="center" wrapText="1"/>
    </xf>
    <xf numFmtId="172" fontId="1" fillId="2" borderId="0" xfId="5" applyNumberFormat="1" applyFont="1" applyFill="1" applyBorder="1" applyAlignment="1">
      <alignment horizontal="center" vertical="center"/>
    </xf>
    <xf numFmtId="0" fontId="36" fillId="2" borderId="0" xfId="0" applyFont="1" applyFill="1" applyBorder="1" applyAlignment="1">
      <alignment horizontal="center" vertical="center"/>
    </xf>
    <xf numFmtId="172" fontId="1" fillId="2" borderId="0" xfId="5" applyNumberFormat="1" applyFont="1" applyFill="1" applyBorder="1" applyAlignment="1">
      <alignment horizontal="center" vertical="center" wrapText="1"/>
    </xf>
    <xf numFmtId="0" fontId="17" fillId="2" borderId="23" xfId="0" applyFont="1" applyFill="1" applyBorder="1" applyAlignment="1">
      <alignment horizontal="center" vertical="center" wrapText="1"/>
    </xf>
    <xf numFmtId="2" fontId="36" fillId="2" borderId="10" xfId="0" applyNumberFormat="1" applyFont="1" applyFill="1" applyBorder="1" applyAlignment="1">
      <alignment vertical="center" wrapText="1"/>
    </xf>
    <xf numFmtId="172" fontId="1" fillId="2" borderId="10" xfId="5" applyNumberFormat="1" applyFont="1" applyFill="1" applyBorder="1" applyAlignment="1">
      <alignment horizontal="center" vertical="center" wrapText="1"/>
    </xf>
    <xf numFmtId="172" fontId="32" fillId="2" borderId="10" xfId="5" applyNumberFormat="1" applyFont="1" applyFill="1" applyBorder="1" applyAlignment="1">
      <alignment horizontal="center" vertical="top"/>
    </xf>
    <xf numFmtId="0" fontId="91" fillId="2" borderId="0" xfId="0" applyFont="1" applyFill="1" applyBorder="1" applyAlignment="1">
      <alignment horizontal="left" vertical="center" wrapText="1"/>
    </xf>
    <xf numFmtId="0" fontId="93" fillId="2" borderId="12" xfId="0" applyFont="1" applyFill="1" applyBorder="1" applyAlignment="1">
      <alignment horizontal="left" vertical="center"/>
    </xf>
    <xf numFmtId="0" fontId="26" fillId="2" borderId="0"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93" fillId="2" borderId="10" xfId="0" applyFont="1" applyFill="1" applyBorder="1" applyAlignment="1">
      <alignment horizontal="left" vertical="center"/>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96" fillId="2" borderId="0" xfId="0" applyFont="1" applyFill="1" applyBorder="1" applyAlignment="1">
      <alignment horizontal="center"/>
    </xf>
    <xf numFmtId="0" fontId="96" fillId="3" borderId="24" xfId="0" applyFont="1" applyFill="1" applyBorder="1" applyAlignment="1">
      <alignment horizontal="center"/>
    </xf>
    <xf numFmtId="9" fontId="36" fillId="2" borderId="0" xfId="6" applyFont="1" applyFill="1" applyBorder="1" applyAlignment="1">
      <alignment horizontal="center" vertical="center"/>
    </xf>
    <xf numFmtId="0" fontId="96" fillId="2" borderId="0" xfId="0" applyFont="1" applyFill="1" applyBorder="1" applyAlignment="1">
      <alignment vertical="center" wrapText="1"/>
    </xf>
    <xf numFmtId="9" fontId="1" fillId="2" borderId="0" xfId="6" applyFont="1" applyFill="1" applyBorder="1" applyAlignment="1">
      <alignment horizontal="center" vertical="center"/>
    </xf>
    <xf numFmtId="1" fontId="1" fillId="2" borderId="0" xfId="0" applyNumberFormat="1" applyFont="1" applyFill="1" applyBorder="1" applyAlignment="1">
      <alignment horizontal="center" vertical="center"/>
    </xf>
    <xf numFmtId="0" fontId="97" fillId="2" borderId="0" xfId="0" applyFont="1" applyFill="1" applyBorder="1" applyAlignment="1">
      <alignment horizontal="center" vertical="center"/>
    </xf>
    <xf numFmtId="0" fontId="98" fillId="2" borderId="0" xfId="0" applyNumberFormat="1" applyFont="1" applyFill="1" applyBorder="1" applyAlignment="1">
      <alignment horizontal="center" vertical="center"/>
    </xf>
    <xf numFmtId="1" fontId="99" fillId="2" borderId="0" xfId="0" applyNumberFormat="1" applyFont="1" applyFill="1" applyBorder="1" applyAlignment="1">
      <alignment horizontal="center" vertical="center"/>
    </xf>
    <xf numFmtId="1" fontId="89" fillId="2" borderId="0" xfId="0" applyNumberFormat="1" applyFont="1" applyFill="1" applyBorder="1" applyAlignment="1">
      <alignment horizontal="center" vertical="center"/>
    </xf>
    <xf numFmtId="1" fontId="89" fillId="2" borderId="10" xfId="0" applyNumberFormat="1" applyFont="1" applyFill="1" applyBorder="1" applyAlignment="1">
      <alignment horizontal="center" vertical="center"/>
    </xf>
    <xf numFmtId="1" fontId="98" fillId="2" borderId="0" xfId="0" applyNumberFormat="1" applyFont="1" applyFill="1" applyBorder="1" applyAlignment="1">
      <alignment vertical="center"/>
    </xf>
    <xf numFmtId="1" fontId="98" fillId="2" borderId="10" xfId="0" applyNumberFormat="1" applyFont="1" applyFill="1" applyBorder="1" applyAlignment="1">
      <alignment vertical="center"/>
    </xf>
    <xf numFmtId="1" fontId="88" fillId="2" borderId="0" xfId="0" applyNumberFormat="1" applyFont="1" applyFill="1" applyBorder="1" applyAlignment="1">
      <alignment horizontal="center" vertical="center"/>
    </xf>
    <xf numFmtId="1" fontId="88" fillId="2" borderId="10" xfId="0" applyNumberFormat="1" applyFont="1" applyFill="1" applyBorder="1" applyAlignment="1">
      <alignment horizontal="center" vertical="center"/>
    </xf>
    <xf numFmtId="1" fontId="98" fillId="2" borderId="0" xfId="0" applyNumberFormat="1" applyFont="1" applyFill="1" applyBorder="1" applyAlignment="1">
      <alignment horizontal="center" vertical="center"/>
    </xf>
    <xf numFmtId="1" fontId="88" fillId="2" borderId="0" xfId="0" applyNumberFormat="1" applyFont="1" applyFill="1" applyBorder="1" applyAlignment="1">
      <alignment horizontal="left" vertical="center"/>
    </xf>
    <xf numFmtId="1" fontId="98" fillId="2" borderId="10" xfId="0" applyNumberFormat="1" applyFont="1" applyFill="1" applyBorder="1" applyAlignment="1">
      <alignment horizontal="center" vertical="center"/>
    </xf>
    <xf numFmtId="0" fontId="100" fillId="2" borderId="0" xfId="0" applyFont="1" applyFill="1" applyBorder="1" applyAlignment="1">
      <alignment horizontal="center" vertical="center"/>
    </xf>
    <xf numFmtId="0" fontId="99" fillId="2" borderId="0" xfId="0" applyFont="1" applyFill="1" applyBorder="1" applyAlignment="1">
      <alignment horizontal="center" vertical="center"/>
    </xf>
    <xf numFmtId="0" fontId="88" fillId="2" borderId="0" xfId="0" applyNumberFormat="1" applyFont="1" applyFill="1" applyBorder="1" applyAlignment="1">
      <alignment horizontal="center" vertical="center"/>
    </xf>
    <xf numFmtId="0" fontId="88" fillId="2" borderId="10" xfId="0" applyNumberFormat="1" applyFont="1" applyFill="1" applyBorder="1" applyAlignment="1">
      <alignment horizontal="center" vertical="center"/>
    </xf>
    <xf numFmtId="0" fontId="101" fillId="2" borderId="0" xfId="0" applyNumberFormat="1" applyFont="1" applyFill="1" applyBorder="1" applyAlignment="1">
      <alignment horizontal="center" vertical="center"/>
    </xf>
    <xf numFmtId="0" fontId="98" fillId="2" borderId="0" xfId="0" applyNumberFormat="1" applyFont="1" applyFill="1" applyBorder="1" applyAlignment="1">
      <alignment vertical="center"/>
    </xf>
    <xf numFmtId="0" fontId="98" fillId="2" borderId="10" xfId="0" applyNumberFormat="1" applyFont="1" applyFill="1" applyBorder="1" applyAlignment="1">
      <alignment vertical="center"/>
    </xf>
    <xf numFmtId="0" fontId="88" fillId="2" borderId="0" xfId="0" applyNumberFormat="1" applyFont="1" applyFill="1" applyBorder="1" applyAlignment="1">
      <alignment horizontal="left" vertical="center"/>
    </xf>
    <xf numFmtId="0" fontId="98" fillId="2" borderId="0" xfId="0" applyNumberFormat="1" applyFont="1" applyFill="1" applyBorder="1" applyAlignment="1">
      <alignment horizontal="center"/>
    </xf>
    <xf numFmtId="0" fontId="88" fillId="2" borderId="0" xfId="0" applyFont="1" applyFill="1" applyBorder="1" applyAlignment="1">
      <alignment horizontal="center" vertical="center"/>
    </xf>
    <xf numFmtId="0" fontId="88" fillId="2" borderId="10" xfId="0" applyFont="1" applyFill="1" applyBorder="1" applyAlignment="1">
      <alignment horizontal="center" vertical="center"/>
    </xf>
    <xf numFmtId="1" fontId="98" fillId="2" borderId="0" xfId="0" applyNumberFormat="1" applyFont="1" applyFill="1" applyBorder="1" applyAlignment="1">
      <alignment horizontal="center" vertical="center" wrapText="1"/>
    </xf>
    <xf numFmtId="0" fontId="101" fillId="2" borderId="0" xfId="0" applyFont="1" applyFill="1" applyBorder="1" applyAlignment="1">
      <alignment horizontal="center" vertical="center"/>
    </xf>
    <xf numFmtId="0" fontId="88" fillId="2" borderId="0" xfId="0" applyFont="1" applyFill="1" applyBorder="1" applyAlignment="1">
      <alignment horizontal="center"/>
    </xf>
    <xf numFmtId="0" fontId="88" fillId="2" borderId="10" xfId="0" applyFont="1" applyFill="1" applyBorder="1" applyAlignment="1">
      <alignment horizontal="center"/>
    </xf>
    <xf numFmtId="0" fontId="98" fillId="2" borderId="0" xfId="0" applyFont="1" applyFill="1" applyBorder="1" applyAlignment="1">
      <alignment horizontal="center" vertical="center"/>
    </xf>
    <xf numFmtId="9" fontId="36" fillId="2" borderId="0" xfId="6" applyFont="1" applyFill="1" applyBorder="1" applyAlignment="1">
      <alignment horizontal="center" vertical="center" wrapText="1"/>
    </xf>
    <xf numFmtId="0" fontId="36" fillId="2" borderId="10" xfId="0" applyNumberFormat="1" applyFont="1" applyFill="1" applyBorder="1" applyAlignment="1">
      <alignment horizontal="center" vertical="center" wrapText="1"/>
    </xf>
    <xf numFmtId="0" fontId="0" fillId="2" borderId="10" xfId="0" applyNumberFormat="1" applyFont="1" applyFill="1" applyBorder="1" applyAlignment="1">
      <alignment vertical="center" wrapText="1"/>
    </xf>
    <xf numFmtId="0" fontId="1" fillId="2" borderId="1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top"/>
    </xf>
    <xf numFmtId="175" fontId="36" fillId="2" borderId="0" xfId="5" applyNumberFormat="1" applyFont="1" applyFill="1" applyBorder="1" applyAlignment="1">
      <alignment vertical="center" wrapText="1"/>
    </xf>
    <xf numFmtId="176" fontId="35" fillId="2" borderId="5" xfId="0" applyNumberFormat="1" applyFont="1" applyFill="1" applyBorder="1" applyAlignment="1">
      <alignment horizontal="center" vertical="center"/>
    </xf>
    <xf numFmtId="0" fontId="102" fillId="2" borderId="0" xfId="0" applyFont="1" applyFill="1" applyBorder="1" applyAlignment="1">
      <alignment horizontal="left" vertical="center"/>
    </xf>
    <xf numFmtId="0" fontId="102" fillId="2" borderId="0" xfId="0" applyFont="1" applyFill="1" applyBorder="1" applyAlignment="1">
      <alignment vertical="center"/>
    </xf>
    <xf numFmtId="0" fontId="0" fillId="13" borderId="16" xfId="0" applyFill="1" applyBorder="1" applyAlignment="1">
      <alignment horizontal="left" vertical="center"/>
    </xf>
    <xf numFmtId="0" fontId="98" fillId="2" borderId="0" xfId="6" applyNumberFormat="1" applyFont="1" applyFill="1" applyBorder="1" applyAlignment="1">
      <alignment horizontal="center" vertical="center"/>
    </xf>
    <xf numFmtId="0" fontId="96" fillId="2" borderId="0"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wrapText="1"/>
    </xf>
    <xf numFmtId="0" fontId="20" fillId="2" borderId="0" xfId="0" applyFont="1" applyFill="1" applyBorder="1" applyAlignment="1">
      <alignment horizontal="left" vertical="top" wrapText="1"/>
    </xf>
    <xf numFmtId="0" fontId="20" fillId="2" borderId="0"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36"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7" fillId="2" borderId="12" xfId="0" applyFont="1" applyFill="1" applyBorder="1" applyAlignment="1">
      <alignment horizontal="center" vertical="center"/>
    </xf>
    <xf numFmtId="0" fontId="3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 fillId="2" borderId="0" xfId="0" applyFont="1" applyFill="1" applyBorder="1" applyAlignment="1">
      <alignment vertical="top" wrapText="1"/>
    </xf>
    <xf numFmtId="0" fontId="3" fillId="2" borderId="0" xfId="0" applyFont="1" applyFill="1" applyBorder="1" applyAlignment="1">
      <alignment horizontal="center" vertical="center"/>
    </xf>
    <xf numFmtId="0" fontId="20" fillId="2" borderId="0" xfId="0" applyFont="1" applyFill="1" applyBorder="1" applyAlignment="1">
      <alignment vertical="center" wrapText="1"/>
    </xf>
    <xf numFmtId="0" fontId="3" fillId="2" borderId="12"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20" fillId="2" borderId="0"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0" fillId="2" borderId="30" xfId="0" applyFill="1" applyBorder="1"/>
    <xf numFmtId="0" fontId="0" fillId="2" borderId="32" xfId="0" applyFill="1" applyBorder="1"/>
    <xf numFmtId="0" fontId="0" fillId="2" borderId="31" xfId="0" applyFill="1" applyBorder="1"/>
    <xf numFmtId="0" fontId="83" fillId="2" borderId="0" xfId="0" applyFont="1" applyFill="1" applyBorder="1"/>
    <xf numFmtId="0" fontId="102" fillId="2" borderId="10" xfId="0" applyFont="1" applyFill="1" applyBorder="1" applyAlignment="1">
      <alignment vertical="center"/>
    </xf>
    <xf numFmtId="0" fontId="104" fillId="0" borderId="0" xfId="0" applyFont="1" applyFill="1" applyBorder="1" applyAlignment="1">
      <alignment horizontal="center" vertical="center" wrapText="1"/>
    </xf>
    <xf numFmtId="0" fontId="105" fillId="2" borderId="0" xfId="0" applyFont="1" applyFill="1" applyBorder="1" applyAlignment="1">
      <alignment horizontal="left" vertical="top"/>
    </xf>
    <xf numFmtId="0" fontId="20" fillId="2" borderId="0" xfId="0" applyNumberFormat="1" applyFont="1" applyFill="1" applyBorder="1" applyAlignment="1">
      <alignment horizontal="left" vertical="top"/>
    </xf>
    <xf numFmtId="0" fontId="0" fillId="2" borderId="12" xfId="0" applyFill="1" applyBorder="1" applyAlignment="1">
      <alignment horizontal="center"/>
    </xf>
    <xf numFmtId="0" fontId="2" fillId="2" borderId="0" xfId="0" applyFont="1" applyFill="1" applyAlignment="1">
      <alignment vertical="center"/>
    </xf>
    <xf numFmtId="0" fontId="33" fillId="2" borderId="0" xfId="0" applyFont="1" applyFill="1" applyBorder="1" applyAlignment="1">
      <alignment vertical="center"/>
    </xf>
    <xf numFmtId="0" fontId="105" fillId="0" borderId="0" xfId="0" applyFont="1" applyFill="1" applyBorder="1" applyAlignment="1">
      <alignment horizontal="center" vertical="center" wrapText="1"/>
    </xf>
    <xf numFmtId="168" fontId="1" fillId="2" borderId="0" xfId="0" applyNumberFormat="1" applyFont="1" applyFill="1" applyBorder="1" applyAlignment="1">
      <alignment horizontal="center"/>
    </xf>
    <xf numFmtId="168" fontId="0" fillId="3" borderId="12" xfId="0" applyNumberFormat="1" applyFill="1" applyBorder="1" applyAlignment="1">
      <alignment horizontal="center" vertical="center"/>
    </xf>
    <xf numFmtId="0" fontId="93" fillId="2" borderId="0" xfId="0" applyNumberFormat="1" applyFont="1" applyFill="1" applyBorder="1" applyAlignment="1">
      <alignment horizontal="center" vertical="top" wrapText="1"/>
    </xf>
    <xf numFmtId="0" fontId="93" fillId="2" borderId="9" xfId="0" applyNumberFormat="1" applyFont="1" applyFill="1" applyBorder="1" applyAlignment="1">
      <alignment horizontal="center" vertical="top" wrapText="1"/>
    </xf>
    <xf numFmtId="0" fontId="1" fillId="2" borderId="16" xfId="0" applyFont="1" applyFill="1" applyBorder="1" applyAlignment="1">
      <alignment vertical="center"/>
    </xf>
    <xf numFmtId="0" fontId="47" fillId="2" borderId="10" xfId="0" applyFont="1" applyFill="1" applyBorder="1" applyAlignment="1">
      <alignment vertical="center"/>
    </xf>
    <xf numFmtId="0" fontId="75" fillId="2" borderId="0" xfId="0" applyFont="1" applyFill="1" applyBorder="1" applyAlignment="1">
      <alignment horizontal="center" vertical="center" wrapText="1"/>
    </xf>
    <xf numFmtId="0" fontId="0" fillId="3" borderId="0" xfId="0" applyFont="1" applyFill="1" applyBorder="1" applyAlignment="1">
      <alignment horizontal="left" vertical="center"/>
    </xf>
    <xf numFmtId="0" fontId="44" fillId="2" borderId="4" xfId="0" applyFont="1" applyFill="1" applyBorder="1" applyAlignment="1">
      <alignment vertical="center"/>
    </xf>
    <xf numFmtId="0" fontId="44" fillId="2" borderId="5" xfId="0" applyFont="1" applyFill="1" applyBorder="1" applyAlignment="1">
      <alignment vertical="center"/>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2" fillId="2" borderId="7" xfId="0" applyFont="1" applyFill="1" applyBorder="1"/>
    <xf numFmtId="0" fontId="10" fillId="2" borderId="5" xfId="0" applyFont="1" applyFill="1" applyBorder="1" applyAlignment="1">
      <alignment horizontal="left" vertical="center"/>
    </xf>
    <xf numFmtId="0" fontId="3" fillId="2" borderId="0" xfId="0" applyFont="1" applyFill="1" applyBorder="1" applyAlignment="1">
      <alignment vertical="center"/>
    </xf>
    <xf numFmtId="0" fontId="0" fillId="3" borderId="0" xfId="0" applyFont="1" applyFill="1" applyBorder="1" applyAlignment="1">
      <alignment horizontal="center" wrapText="1"/>
    </xf>
    <xf numFmtId="0" fontId="0" fillId="14" borderId="0" xfId="0" applyFill="1"/>
    <xf numFmtId="0" fontId="55" fillId="2" borderId="0" xfId="0" applyFont="1" applyFill="1"/>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36" fillId="2" borderId="4" xfId="0" applyFont="1" applyFill="1" applyBorder="1" applyAlignment="1">
      <alignment horizontal="right"/>
    </xf>
    <xf numFmtId="0" fontId="36" fillId="2" borderId="0" xfId="0" applyFont="1" applyFill="1" applyBorder="1" applyAlignment="1">
      <alignment horizontal="right"/>
    </xf>
    <xf numFmtId="0" fontId="36" fillId="2" borderId="5" xfId="0" applyFont="1" applyFill="1" applyBorder="1" applyAlignment="1">
      <alignment horizontal="right"/>
    </xf>
    <xf numFmtId="3" fontId="36" fillId="2" borderId="4" xfId="0" applyNumberFormat="1" applyFont="1" applyFill="1" applyBorder="1" applyAlignment="1">
      <alignment horizontal="right"/>
    </xf>
    <xf numFmtId="3" fontId="36" fillId="2" borderId="0" xfId="0" applyNumberFormat="1" applyFont="1" applyFill="1" applyBorder="1" applyAlignment="1">
      <alignment horizontal="right"/>
    </xf>
    <xf numFmtId="3" fontId="36" fillId="2" borderId="5" xfId="0" applyNumberFormat="1" applyFont="1" applyFill="1" applyBorder="1" applyAlignment="1">
      <alignment horizontal="right"/>
    </xf>
    <xf numFmtId="3" fontId="1" fillId="2" borderId="4" xfId="0" applyNumberFormat="1" applyFont="1" applyFill="1" applyBorder="1" applyAlignment="1">
      <alignment horizontal="right"/>
    </xf>
    <xf numFmtId="3" fontId="1" fillId="2" borderId="0" xfId="0" applyNumberFormat="1" applyFont="1" applyFill="1" applyBorder="1" applyAlignment="1">
      <alignment horizontal="right"/>
    </xf>
    <xf numFmtId="3" fontId="1" fillId="2" borderId="5" xfId="0" applyNumberFormat="1" applyFont="1" applyFill="1" applyBorder="1" applyAlignment="1">
      <alignment horizontal="right"/>
    </xf>
    <xf numFmtId="1" fontId="1" fillId="2" borderId="4" xfId="0" applyNumberFormat="1" applyFont="1" applyFill="1" applyBorder="1" applyAlignment="1">
      <alignment horizontal="right"/>
    </xf>
    <xf numFmtId="1" fontId="1" fillId="2" borderId="0" xfId="0" applyNumberFormat="1" applyFont="1" applyFill="1" applyBorder="1" applyAlignment="1">
      <alignment horizontal="right"/>
    </xf>
    <xf numFmtId="1" fontId="1" fillId="2" borderId="5" xfId="0" applyNumberFormat="1" applyFont="1" applyFill="1" applyBorder="1" applyAlignment="1">
      <alignment horizontal="right"/>
    </xf>
    <xf numFmtId="1" fontId="1" fillId="2" borderId="4" xfId="0" applyNumberFormat="1" applyFont="1" applyFill="1" applyBorder="1"/>
    <xf numFmtId="1" fontId="1" fillId="2" borderId="0" xfId="0" applyNumberFormat="1" applyFont="1" applyFill="1" applyBorder="1"/>
    <xf numFmtId="1" fontId="1" fillId="2" borderId="5" xfId="0" applyNumberFormat="1" applyFont="1" applyFill="1" applyBorder="1"/>
    <xf numFmtId="0" fontId="1" fillId="2" borderId="4" xfId="0" applyFont="1" applyFill="1" applyBorder="1" applyAlignment="1">
      <alignment horizontal="right"/>
    </xf>
    <xf numFmtId="0" fontId="1" fillId="2" borderId="0" xfId="0" applyFont="1" applyFill="1" applyBorder="1" applyAlignment="1">
      <alignment horizontal="right"/>
    </xf>
    <xf numFmtId="0" fontId="1" fillId="2" borderId="5" xfId="0" applyFont="1" applyFill="1" applyBorder="1" applyAlignment="1">
      <alignment horizontal="right"/>
    </xf>
    <xf numFmtId="0" fontId="1" fillId="2" borderId="4" xfId="0" applyFont="1" applyFill="1" applyBorder="1"/>
    <xf numFmtId="0" fontId="1" fillId="2" borderId="0" xfId="0" applyFont="1" applyFill="1" applyBorder="1"/>
    <xf numFmtId="0" fontId="1" fillId="2" borderId="5" xfId="0" applyFont="1" applyFill="1" applyBorder="1"/>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xf numFmtId="2" fontId="1" fillId="2" borderId="6" xfId="0" applyNumberFormat="1" applyFont="1" applyFill="1" applyBorder="1" applyAlignment="1">
      <alignment horizontal="right"/>
    </xf>
    <xf numFmtId="2" fontId="1" fillId="2" borderId="7" xfId="0" applyNumberFormat="1" applyFont="1" applyFill="1" applyBorder="1" applyAlignment="1">
      <alignment horizontal="right"/>
    </xf>
    <xf numFmtId="2" fontId="1" fillId="2" borderId="8" xfId="0" applyNumberFormat="1" applyFont="1" applyFill="1" applyBorder="1" applyAlignment="1">
      <alignment horizontal="right"/>
    </xf>
    <xf numFmtId="9" fontId="32" fillId="2" borderId="21" xfId="6" applyFont="1" applyFill="1" applyBorder="1"/>
    <xf numFmtId="9" fontId="32" fillId="2" borderId="22" xfId="6" applyFont="1" applyFill="1" applyBorder="1"/>
    <xf numFmtId="1" fontId="32" fillId="2" borderId="23" xfId="0" applyNumberFormat="1" applyFont="1" applyFill="1" applyBorder="1"/>
    <xf numFmtId="169" fontId="1" fillId="2" borderId="6" xfId="0" applyNumberFormat="1" applyFont="1" applyFill="1" applyBorder="1"/>
    <xf numFmtId="169" fontId="1" fillId="2" borderId="7" xfId="0" applyNumberFormat="1" applyFont="1" applyFill="1" applyBorder="1"/>
    <xf numFmtId="169" fontId="1" fillId="2" borderId="8" xfId="0" applyNumberFormat="1" applyFont="1" applyFill="1" applyBorder="1"/>
    <xf numFmtId="0" fontId="55" fillId="14" borderId="0" xfId="0" applyFont="1"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5" xfId="0" applyFill="1" applyBorder="1"/>
    <xf numFmtId="0" fontId="0" fillId="14" borderId="4" xfId="0" applyFont="1" applyFill="1" applyBorder="1" applyAlignment="1">
      <alignment horizontal="left" vertical="top"/>
    </xf>
    <xf numFmtId="0" fontId="0" fillId="14" borderId="4" xfId="0" applyFont="1" applyFill="1" applyBorder="1"/>
    <xf numFmtId="0" fontId="0" fillId="14" borderId="6" xfId="0" applyFont="1" applyFill="1" applyBorder="1"/>
    <xf numFmtId="0" fontId="0" fillId="14" borderId="7" xfId="0" applyFill="1" applyBorder="1"/>
    <xf numFmtId="0" fontId="0" fillId="14" borderId="8" xfId="0" applyFill="1" applyBorder="1"/>
    <xf numFmtId="0" fontId="2" fillId="2" borderId="33" xfId="0" applyFont="1" applyFill="1" applyBorder="1"/>
    <xf numFmtId="0" fontId="55" fillId="2" borderId="0" xfId="0" applyFont="1" applyFill="1" applyBorder="1"/>
    <xf numFmtId="9" fontId="32" fillId="2" borderId="0" xfId="6" applyFont="1" applyFill="1" applyBorder="1"/>
    <xf numFmtId="1" fontId="32" fillId="2" borderId="0" xfId="0" applyNumberFormat="1" applyFont="1" applyFill="1" applyBorder="1"/>
    <xf numFmtId="0" fontId="0" fillId="14" borderId="32" xfId="0" applyFill="1" applyBorder="1"/>
    <xf numFmtId="0" fontId="0" fillId="14" borderId="31" xfId="0" applyFont="1" applyFill="1" applyBorder="1"/>
    <xf numFmtId="2" fontId="1" fillId="14" borderId="6" xfId="0" applyNumberFormat="1" applyFont="1" applyFill="1" applyBorder="1"/>
    <xf numFmtId="2" fontId="1" fillId="14" borderId="7" xfId="0" applyNumberFormat="1" applyFont="1" applyFill="1" applyBorder="1"/>
    <xf numFmtId="2" fontId="1" fillId="14" borderId="8" xfId="0" applyNumberFormat="1" applyFont="1" applyFill="1" applyBorder="1"/>
    <xf numFmtId="0" fontId="0" fillId="14" borderId="30" xfId="0" applyFill="1" applyBorder="1"/>
    <xf numFmtId="165" fontId="1" fillId="14" borderId="1" xfId="0" applyNumberFormat="1" applyFont="1" applyFill="1" applyBorder="1"/>
    <xf numFmtId="165" fontId="1" fillId="14" borderId="2" xfId="0" applyNumberFormat="1" applyFont="1" applyFill="1" applyBorder="1"/>
    <xf numFmtId="165" fontId="1" fillId="14" borderId="3" xfId="0" applyNumberFormat="1" applyFont="1" applyFill="1" applyBorder="1"/>
    <xf numFmtId="178" fontId="1" fillId="14" borderId="4" xfId="0" applyNumberFormat="1" applyFont="1" applyFill="1" applyBorder="1"/>
    <xf numFmtId="178" fontId="1" fillId="14" borderId="0" xfId="0" applyNumberFormat="1" applyFont="1" applyFill="1" applyBorder="1"/>
    <xf numFmtId="178" fontId="1" fillId="14" borderId="5" xfId="0" applyNumberFormat="1" applyFont="1" applyFill="1" applyBorder="1"/>
    <xf numFmtId="179" fontId="1" fillId="14" borderId="4" xfId="0" applyNumberFormat="1" applyFont="1" applyFill="1" applyBorder="1"/>
    <xf numFmtId="179" fontId="1" fillId="14" borderId="0" xfId="0" applyNumberFormat="1" applyFont="1" applyFill="1" applyBorder="1"/>
    <xf numFmtId="179" fontId="1" fillId="14" borderId="5" xfId="0" applyNumberFormat="1" applyFont="1" applyFill="1" applyBorder="1"/>
    <xf numFmtId="0" fontId="0" fillId="14" borderId="31" xfId="0" applyFill="1" applyBorder="1"/>
    <xf numFmtId="180" fontId="1" fillId="14" borderId="6" xfId="0" applyNumberFormat="1" applyFont="1" applyFill="1" applyBorder="1"/>
    <xf numFmtId="180" fontId="1" fillId="14" borderId="7" xfId="0" applyNumberFormat="1" applyFont="1" applyFill="1" applyBorder="1"/>
    <xf numFmtId="180" fontId="1" fillId="14" borderId="8" xfId="0" applyNumberFormat="1" applyFont="1" applyFill="1" applyBorder="1"/>
    <xf numFmtId="177" fontId="1" fillId="14" borderId="1" xfId="0" applyNumberFormat="1" applyFont="1" applyFill="1" applyBorder="1"/>
    <xf numFmtId="177" fontId="1" fillId="14" borderId="2" xfId="0" applyNumberFormat="1" applyFont="1" applyFill="1" applyBorder="1"/>
    <xf numFmtId="177" fontId="1" fillId="14" borderId="3" xfId="0" applyNumberFormat="1" applyFont="1" applyFill="1" applyBorder="1"/>
    <xf numFmtId="0" fontId="14" fillId="2" borderId="0" xfId="0" applyFont="1" applyFill="1"/>
    <xf numFmtId="0" fontId="0" fillId="2" borderId="0" xfId="0" applyFill="1" applyAlignment="1">
      <alignment horizontal="left"/>
    </xf>
    <xf numFmtId="0" fontId="55" fillId="5" borderId="0" xfId="0" applyFont="1" applyFill="1" applyAlignment="1">
      <alignment vertical="center" wrapText="1"/>
    </xf>
    <xf numFmtId="0" fontId="29" fillId="2" borderId="0" xfId="0" applyFont="1" applyFill="1"/>
    <xf numFmtId="0" fontId="0" fillId="3" borderId="24" xfId="0" applyFill="1" applyBorder="1" applyAlignment="1">
      <alignment horizontal="center" vertical="center"/>
    </xf>
    <xf numFmtId="9" fontId="106" fillId="2" borderId="0" xfId="6" applyFont="1" applyFill="1" applyBorder="1" applyAlignment="1">
      <alignment horizontal="center"/>
    </xf>
    <xf numFmtId="0" fontId="0" fillId="2" borderId="33" xfId="0" applyFill="1" applyBorder="1"/>
    <xf numFmtId="0" fontId="17" fillId="2" borderId="11" xfId="0" applyFont="1" applyFill="1" applyBorder="1" applyAlignment="1">
      <alignment horizontal="left" vertical="top"/>
    </xf>
    <xf numFmtId="0" fontId="17" fillId="2" borderId="11" xfId="0" applyFont="1" applyFill="1" applyBorder="1" applyAlignment="1">
      <alignment horizontal="center" vertical="top" wrapText="1"/>
    </xf>
    <xf numFmtId="0" fontId="17" fillId="2" borderId="11" xfId="0" applyFont="1" applyFill="1" applyBorder="1" applyAlignment="1">
      <alignment horizontal="center" vertical="top"/>
    </xf>
    <xf numFmtId="0" fontId="90" fillId="2" borderId="0" xfId="0" applyFont="1" applyFill="1" applyBorder="1" applyAlignment="1">
      <alignment horizontal="left" vertical="center"/>
    </xf>
    <xf numFmtId="0" fontId="90" fillId="2" borderId="0" xfId="0" applyFont="1" applyFill="1" applyBorder="1" applyAlignment="1">
      <alignment vertical="center"/>
    </xf>
    <xf numFmtId="0" fontId="90" fillId="2" borderId="10" xfId="0" applyFont="1" applyFill="1" applyBorder="1" applyAlignment="1">
      <alignment horizontal="left" vertical="center"/>
    </xf>
    <xf numFmtId="0" fontId="90" fillId="2" borderId="10" xfId="0" applyFont="1" applyFill="1" applyBorder="1" applyAlignment="1">
      <alignment vertical="center"/>
    </xf>
    <xf numFmtId="0" fontId="56" fillId="2" borderId="5" xfId="0" applyFont="1" applyFill="1" applyBorder="1" applyAlignment="1">
      <alignment horizontal="center" vertical="center"/>
    </xf>
    <xf numFmtId="0" fontId="56" fillId="2" borderId="5" xfId="0" applyFont="1" applyFill="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68" fillId="2" borderId="0" xfId="0" applyFont="1" applyFill="1" applyBorder="1" applyAlignment="1">
      <alignment vertical="center"/>
    </xf>
    <xf numFmtId="0" fontId="98" fillId="10" borderId="0" xfId="0" applyNumberFormat="1" applyFont="1" applyFill="1" applyBorder="1" applyAlignment="1">
      <alignment horizontal="center" vertical="center"/>
    </xf>
    <xf numFmtId="1" fontId="98" fillId="10" borderId="0" xfId="0" applyNumberFormat="1" applyFont="1" applyFill="1" applyBorder="1" applyAlignment="1">
      <alignment vertical="center"/>
    </xf>
    <xf numFmtId="0" fontId="98" fillId="10" borderId="10" xfId="0" applyNumberFormat="1" applyFont="1" applyFill="1" applyBorder="1" applyAlignment="1">
      <alignment horizontal="center" vertical="center"/>
    </xf>
    <xf numFmtId="1" fontId="98" fillId="10" borderId="0" xfId="0" applyNumberFormat="1" applyFont="1" applyFill="1" applyBorder="1" applyAlignment="1">
      <alignment horizontal="center" vertical="center"/>
    </xf>
    <xf numFmtId="0" fontId="98" fillId="10" borderId="0" xfId="0" applyNumberFormat="1" applyFont="1" applyFill="1" applyBorder="1" applyAlignment="1">
      <alignment vertical="center"/>
    </xf>
    <xf numFmtId="0" fontId="98" fillId="10" borderId="10" xfId="0" applyNumberFormat="1" applyFont="1" applyFill="1" applyBorder="1" applyAlignment="1">
      <alignment vertical="center"/>
    </xf>
    <xf numFmtId="0" fontId="98" fillId="0" borderId="0" xfId="0" applyNumberFormat="1" applyFont="1" applyFill="1" applyBorder="1" applyAlignment="1">
      <alignment vertical="center"/>
    </xf>
    <xf numFmtId="0" fontId="98" fillId="10" borderId="0" xfId="0" applyNumberFormat="1" applyFont="1" applyFill="1" applyBorder="1" applyAlignment="1">
      <alignment horizontal="left" vertical="center"/>
    </xf>
    <xf numFmtId="0" fontId="88" fillId="10" borderId="0" xfId="0" applyNumberFormat="1" applyFont="1" applyFill="1" applyBorder="1" applyAlignment="1">
      <alignment horizontal="center" vertical="center"/>
    </xf>
    <xf numFmtId="1" fontId="79" fillId="2" borderId="0" xfId="0" applyNumberFormat="1" applyFont="1" applyFill="1" applyBorder="1" applyAlignment="1">
      <alignment vertical="center" wrapText="1"/>
    </xf>
    <xf numFmtId="1" fontId="107" fillId="2" borderId="0" xfId="0" applyNumberFormat="1" applyFont="1" applyFill="1" applyBorder="1" applyAlignment="1">
      <alignment horizontal="right" vertical="center"/>
    </xf>
    <xf numFmtId="1" fontId="108" fillId="2" borderId="0" xfId="0" applyNumberFormat="1" applyFont="1" applyFill="1" applyBorder="1" applyAlignment="1">
      <alignment horizontal="right" vertical="center"/>
    </xf>
    <xf numFmtId="0" fontId="89" fillId="2" borderId="4" xfId="0" applyFont="1" applyFill="1" applyBorder="1" applyAlignment="1">
      <alignment vertical="center"/>
    </xf>
    <xf numFmtId="0" fontId="109" fillId="2" borderId="16" xfId="0" applyFont="1" applyFill="1" applyBorder="1" applyAlignment="1">
      <alignment horizontal="left" vertical="top" wrapText="1"/>
    </xf>
    <xf numFmtId="0" fontId="90" fillId="2" borderId="0" xfId="0" applyFont="1" applyFill="1" applyBorder="1" applyAlignment="1">
      <alignment vertical="center" wrapText="1"/>
    </xf>
    <xf numFmtId="0" fontId="101" fillId="2" borderId="0" xfId="0" applyFont="1" applyFill="1" applyBorder="1" applyAlignment="1">
      <alignment vertical="center" wrapText="1"/>
    </xf>
    <xf numFmtId="0" fontId="86" fillId="2" borderId="5" xfId="0" applyFont="1" applyFill="1" applyBorder="1" applyAlignment="1">
      <alignment vertical="center"/>
    </xf>
    <xf numFmtId="0" fontId="86" fillId="2" borderId="0" xfId="0" applyFont="1" applyFill="1" applyBorder="1" applyAlignment="1">
      <alignment vertical="center"/>
    </xf>
    <xf numFmtId="0" fontId="80" fillId="2" borderId="12" xfId="0" applyFont="1" applyFill="1" applyBorder="1" applyAlignment="1">
      <alignment horizontal="center" vertical="center"/>
    </xf>
    <xf numFmtId="0" fontId="79" fillId="2" borderId="9" xfId="0" applyFont="1" applyFill="1" applyBorder="1" applyAlignment="1">
      <alignment horizontal="left" vertical="center"/>
    </xf>
    <xf numFmtId="0" fontId="82" fillId="2" borderId="9" xfId="0" applyFont="1" applyFill="1" applyBorder="1" applyAlignment="1">
      <alignment horizontal="left" vertical="top" wrapText="1"/>
    </xf>
    <xf numFmtId="0" fontId="82" fillId="2" borderId="9" xfId="0" applyFont="1" applyFill="1" applyBorder="1" applyAlignment="1">
      <alignment vertical="center" wrapText="1"/>
    </xf>
    <xf numFmtId="0" fontId="101" fillId="2" borderId="9" xfId="0" applyFont="1" applyFill="1" applyBorder="1" applyAlignment="1">
      <alignment vertical="center" wrapText="1"/>
    </xf>
    <xf numFmtId="0" fontId="79" fillId="2" borderId="18" xfId="0" applyFont="1" applyFill="1" applyBorder="1" applyAlignment="1">
      <alignment horizontal="left" vertical="center"/>
    </xf>
    <xf numFmtId="0" fontId="19" fillId="2" borderId="12" xfId="0" applyFont="1" applyFill="1" applyBorder="1" applyAlignment="1">
      <alignment horizontal="center" vertical="center"/>
    </xf>
    <xf numFmtId="0" fontId="0" fillId="2" borderId="10" xfId="0" applyFill="1" applyBorder="1"/>
    <xf numFmtId="2" fontId="36" fillId="2" borderId="10" xfId="0" applyNumberFormat="1" applyFont="1" applyFill="1" applyBorder="1" applyAlignment="1">
      <alignment horizontal="center" vertical="center"/>
    </xf>
    <xf numFmtId="168" fontId="70" fillId="2" borderId="0" xfId="0" applyNumberFormat="1" applyFont="1" applyFill="1" applyBorder="1" applyAlignment="1">
      <alignment horizontal="center" vertical="center" wrapText="1"/>
    </xf>
    <xf numFmtId="1" fontId="7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xf>
    <xf numFmtId="0" fontId="0" fillId="2" borderId="0" xfId="0" applyFill="1" applyBorder="1" applyAlignment="1">
      <alignment horizontal="left" vertical="center" wrapText="1"/>
    </xf>
    <xf numFmtId="0" fontId="27" fillId="7" borderId="22" xfId="0" applyFont="1" applyFill="1" applyBorder="1" applyAlignment="1">
      <alignment horizontal="center" vertical="center"/>
    </xf>
    <xf numFmtId="0" fontId="27" fillId="7" borderId="23" xfId="0" applyFont="1" applyFill="1" applyBorder="1" applyAlignment="1">
      <alignment horizontal="center" vertical="center"/>
    </xf>
    <xf numFmtId="0" fontId="17" fillId="2" borderId="12" xfId="0" applyFont="1" applyFill="1" applyBorder="1" applyAlignment="1">
      <alignment horizontal="center" vertical="center"/>
    </xf>
    <xf numFmtId="0" fontId="3" fillId="2" borderId="0" xfId="0" applyFont="1" applyFill="1" applyBorder="1" applyAlignment="1">
      <alignment horizontal="left" vertical="center"/>
    </xf>
    <xf numFmtId="0" fontId="17" fillId="2" borderId="11" xfId="0" applyFont="1" applyFill="1" applyBorder="1" applyAlignment="1">
      <alignment horizontal="center" vertical="center" wrapText="1"/>
    </xf>
    <xf numFmtId="0" fontId="110" fillId="2" borderId="0" xfId="0" applyFont="1" applyFill="1" applyBorder="1" applyAlignment="1">
      <alignment vertical="center"/>
    </xf>
    <xf numFmtId="0" fontId="0" fillId="2" borderId="0" xfId="0" applyFill="1" applyBorder="1" applyAlignment="1">
      <alignment horizontal="left" vertical="center" wrapText="1"/>
    </xf>
    <xf numFmtId="0" fontId="17" fillId="2"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2" fillId="2" borderId="10" xfId="0" applyFont="1" applyFill="1" applyBorder="1" applyAlignment="1">
      <alignment horizontal="center" vertical="top"/>
    </xf>
    <xf numFmtId="0" fontId="1" fillId="15" borderId="16" xfId="0" applyFont="1" applyFill="1" applyBorder="1" applyAlignment="1">
      <alignment horizontal="left" vertical="center"/>
    </xf>
    <xf numFmtId="2" fontId="36" fillId="2" borderId="0" xfId="0" applyNumberFormat="1" applyFont="1" applyFill="1" applyBorder="1" applyAlignment="1">
      <alignment horizontal="center" vertical="center"/>
    </xf>
    <xf numFmtId="0" fontId="2" fillId="2" borderId="0" xfId="0" applyFont="1" applyFill="1" applyAlignment="1">
      <alignment horizontal="left"/>
    </xf>
    <xf numFmtId="169" fontId="0" fillId="2" borderId="0" xfId="0" applyNumberFormat="1" applyFont="1" applyFill="1" applyBorder="1" applyAlignment="1">
      <alignment horizontal="right" vertical="center" wrapText="1"/>
    </xf>
    <xf numFmtId="1" fontId="0" fillId="2" borderId="0" xfId="0" applyNumberFormat="1" applyFont="1" applyFill="1" applyBorder="1" applyAlignment="1">
      <alignment horizontal="right" vertical="center" wrapText="1"/>
    </xf>
    <xf numFmtId="2" fontId="1" fillId="2" borderId="0" xfId="0" applyNumberFormat="1" applyFont="1" applyFill="1" applyBorder="1" applyAlignment="1">
      <alignment horizontal="right" vertical="center" wrapText="1"/>
    </xf>
    <xf numFmtId="2" fontId="1" fillId="2" borderId="0" xfId="0" applyNumberFormat="1" applyFont="1" applyFill="1"/>
    <xf numFmtId="1" fontId="1" fillId="2" borderId="0" xfId="0" applyNumberFormat="1" applyFont="1" applyFill="1"/>
    <xf numFmtId="173" fontId="0" fillId="2" borderId="0" xfId="0" applyNumberFormat="1" applyFont="1" applyFill="1" applyBorder="1" applyAlignment="1">
      <alignment horizontal="right" vertical="center" wrapText="1"/>
    </xf>
    <xf numFmtId="169" fontId="0" fillId="2" borderId="0" xfId="0" applyNumberFormat="1" applyFill="1"/>
    <xf numFmtId="0" fontId="17" fillId="2" borderId="0" xfId="0" applyFont="1" applyFill="1" applyBorder="1" applyAlignment="1">
      <alignment horizontal="right" vertical="center"/>
    </xf>
    <xf numFmtId="0" fontId="57" fillId="2" borderId="0" xfId="0" applyFont="1" applyFill="1" applyBorder="1" applyAlignment="1">
      <alignment horizontal="right" vertical="center"/>
    </xf>
    <xf numFmtId="2" fontId="0" fillId="2" borderId="0" xfId="0" applyNumberFormat="1" applyFill="1" applyAlignment="1">
      <alignment horizontal="right"/>
    </xf>
    <xf numFmtId="0" fontId="0" fillId="2" borderId="0" xfId="0" applyFont="1" applyFill="1" applyBorder="1" applyAlignment="1">
      <alignment horizontal="right" vertical="center" wrapText="1"/>
    </xf>
    <xf numFmtId="168" fontId="1" fillId="2" borderId="0" xfId="0" applyNumberFormat="1" applyFont="1" applyFill="1"/>
    <xf numFmtId="0" fontId="0" fillId="2" borderId="0" xfId="0" applyFill="1" applyAlignment="1">
      <alignment horizontal="right"/>
    </xf>
    <xf numFmtId="2" fontId="57" fillId="2" borderId="0" xfId="0" applyNumberFormat="1" applyFont="1" applyFill="1" applyBorder="1" applyAlignment="1">
      <alignment horizontal="right" vertical="center"/>
    </xf>
    <xf numFmtId="0" fontId="1"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58" fillId="2" borderId="0" xfId="0" applyFont="1" applyFill="1" applyBorder="1" applyAlignment="1">
      <alignment horizontal="right" vertical="center"/>
    </xf>
    <xf numFmtId="170" fontId="0" fillId="2" borderId="0" xfId="0" applyNumberFormat="1" applyFont="1" applyFill="1" applyBorder="1" applyAlignment="1">
      <alignment horizontal="right" vertical="center" wrapText="1"/>
    </xf>
    <xf numFmtId="175" fontId="1" fillId="2" borderId="0" xfId="5" applyNumberFormat="1" applyFont="1" applyFill="1" applyBorder="1" applyAlignment="1">
      <alignment horizontal="right" vertical="center" wrapText="1"/>
    </xf>
    <xf numFmtId="175" fontId="1" fillId="2" borderId="0" xfId="5" applyNumberFormat="1" applyFont="1" applyFill="1"/>
    <xf numFmtId="174" fontId="0" fillId="2" borderId="0" xfId="0" applyNumberFormat="1" applyFont="1" applyFill="1" applyBorder="1" applyAlignment="1">
      <alignment horizontal="right" vertical="center" wrapText="1"/>
    </xf>
    <xf numFmtId="1" fontId="1" fillId="2" borderId="0" xfId="0" applyNumberFormat="1" applyFont="1" applyFill="1" applyBorder="1" applyAlignment="1">
      <alignment horizontal="right" vertical="center" wrapText="1"/>
    </xf>
    <xf numFmtId="169" fontId="0" fillId="2" borderId="0" xfId="0" applyNumberFormat="1" applyFill="1" applyAlignment="1">
      <alignment horizontal="right"/>
    </xf>
    <xf numFmtId="170" fontId="0" fillId="2" borderId="0" xfId="0" applyNumberFormat="1" applyFill="1" applyAlignment="1">
      <alignment horizontal="right"/>
    </xf>
    <xf numFmtId="170" fontId="0" fillId="2" borderId="0" xfId="0" applyNumberFormat="1" applyFill="1"/>
    <xf numFmtId="0" fontId="6" fillId="2" borderId="0" xfId="0" applyFont="1" applyFill="1" applyAlignment="1">
      <alignment horizontal="left"/>
    </xf>
    <xf numFmtId="169" fontId="0" fillId="2" borderId="0" xfId="0" applyNumberFormat="1" applyFont="1" applyFill="1" applyBorder="1" applyAlignment="1">
      <alignment horizontal="left" vertical="center" wrapText="1"/>
    </xf>
    <xf numFmtId="169" fontId="0" fillId="2" borderId="0" xfId="0" applyNumberFormat="1" applyFill="1" applyBorder="1" applyAlignment="1">
      <alignment horizontal="left" vertical="center" wrapText="1"/>
    </xf>
    <xf numFmtId="0" fontId="2" fillId="2" borderId="10" xfId="0" applyFont="1" applyFill="1" applyBorder="1"/>
    <xf numFmtId="0" fontId="2" fillId="2" borderId="10" xfId="0" applyFont="1" applyFill="1" applyBorder="1" applyAlignment="1">
      <alignment horizontal="left"/>
    </xf>
    <xf numFmtId="0" fontId="2" fillId="2" borderId="10" xfId="0" applyFont="1" applyFill="1" applyBorder="1" applyAlignment="1">
      <alignment horizontal="left" wrapText="1"/>
    </xf>
    <xf numFmtId="0" fontId="9" fillId="2" borderId="11" xfId="0" applyFont="1" applyFill="1" applyBorder="1" applyAlignment="1">
      <alignment horizontal="left" vertical="center" wrapText="1"/>
    </xf>
    <xf numFmtId="0" fontId="36" fillId="2" borderId="0" xfId="0" applyFont="1" applyFill="1" applyBorder="1" applyAlignment="1">
      <alignment horizontal="center" vertical="top"/>
    </xf>
    <xf numFmtId="172" fontId="36" fillId="2" borderId="0" xfId="5" applyNumberFormat="1" applyFont="1" applyFill="1" applyBorder="1" applyAlignment="1">
      <alignment horizontal="center" vertical="center"/>
    </xf>
    <xf numFmtId="0" fontId="17" fillId="15" borderId="16" xfId="0" applyFont="1" applyFill="1" applyBorder="1" applyAlignment="1">
      <alignment horizontal="left" vertical="center"/>
    </xf>
    <xf numFmtId="0" fontId="36" fillId="0" borderId="0" xfId="0" applyFont="1" applyFill="1" applyAlignment="1">
      <alignment vertical="center"/>
    </xf>
    <xf numFmtId="0" fontId="1" fillId="0" borderId="0" xfId="0" applyFont="1" applyFill="1" applyBorder="1" applyAlignment="1">
      <alignment vertical="center" wrapText="1"/>
    </xf>
    <xf numFmtId="0" fontId="21" fillId="3" borderId="21"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27" fillId="3" borderId="21"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4" fillId="11" borderId="1" xfId="1" applyFill="1" applyBorder="1" applyAlignment="1" applyProtection="1">
      <alignment horizontal="center" vertical="center" wrapText="1"/>
    </xf>
    <xf numFmtId="0" fontId="4" fillId="11" borderId="3" xfId="1" applyFill="1" applyBorder="1" applyAlignment="1" applyProtection="1">
      <alignment horizontal="center" vertical="center" wrapText="1"/>
    </xf>
    <xf numFmtId="0" fontId="4" fillId="11" borderId="4" xfId="1" applyFill="1" applyBorder="1" applyAlignment="1" applyProtection="1">
      <alignment horizontal="center" vertical="center" wrapText="1"/>
    </xf>
    <xf numFmtId="0" fontId="4" fillId="11" borderId="5" xfId="1" applyFill="1" applyBorder="1" applyAlignment="1" applyProtection="1">
      <alignment horizontal="center" vertical="center" wrapText="1"/>
    </xf>
    <xf numFmtId="0" fontId="4" fillId="11" borderId="6" xfId="1" applyFill="1" applyBorder="1" applyAlignment="1" applyProtection="1">
      <alignment horizontal="center" vertical="center" wrapText="1"/>
    </xf>
    <xf numFmtId="0" fontId="4" fillId="11" borderId="8" xfId="1" applyFill="1" applyBorder="1" applyAlignment="1" applyProtection="1">
      <alignment horizontal="center" vertical="center" wrapText="1"/>
    </xf>
    <xf numFmtId="0" fontId="4" fillId="8" borderId="1" xfId="1" applyFill="1" applyBorder="1" applyAlignment="1" applyProtection="1">
      <alignment horizontal="center" vertical="center" wrapText="1"/>
    </xf>
    <xf numFmtId="0" fontId="4" fillId="8" borderId="3" xfId="1" applyFill="1" applyBorder="1" applyAlignment="1" applyProtection="1">
      <alignment horizontal="center" vertical="center" wrapText="1"/>
    </xf>
    <xf numFmtId="0" fontId="4" fillId="8" borderId="4" xfId="1" applyFill="1" applyBorder="1" applyAlignment="1" applyProtection="1">
      <alignment horizontal="center" vertical="center" wrapText="1"/>
    </xf>
    <xf numFmtId="0" fontId="4" fillId="8" borderId="5" xfId="1" applyFill="1" applyBorder="1" applyAlignment="1" applyProtection="1">
      <alignment horizontal="center" vertical="center" wrapText="1"/>
    </xf>
    <xf numFmtId="0" fontId="4" fillId="8" borderId="6" xfId="1" applyFill="1" applyBorder="1" applyAlignment="1" applyProtection="1">
      <alignment horizontal="center" vertical="center" wrapText="1"/>
    </xf>
    <xf numFmtId="0" fontId="4" fillId="8" borderId="8" xfId="1" applyFill="1" applyBorder="1" applyAlignment="1" applyProtection="1">
      <alignment horizontal="center" vertical="center" wrapText="1"/>
    </xf>
    <xf numFmtId="0" fontId="4" fillId="9" borderId="1" xfId="1" applyFill="1" applyBorder="1" applyAlignment="1" applyProtection="1">
      <alignment horizontal="center" vertical="center" wrapText="1"/>
    </xf>
    <xf numFmtId="0" fontId="4" fillId="9" borderId="3" xfId="1" applyFill="1" applyBorder="1" applyAlignment="1" applyProtection="1">
      <alignment horizontal="center" vertical="center" wrapText="1"/>
    </xf>
    <xf numFmtId="0" fontId="4" fillId="9" borderId="4" xfId="1" applyFill="1" applyBorder="1" applyAlignment="1" applyProtection="1">
      <alignment horizontal="center" vertical="center" wrapText="1"/>
    </xf>
    <xf numFmtId="0" fontId="4" fillId="9" borderId="5" xfId="1" applyFill="1" applyBorder="1" applyAlignment="1" applyProtection="1">
      <alignment horizontal="center" vertical="center" wrapText="1"/>
    </xf>
    <xf numFmtId="0" fontId="4" fillId="9" borderId="6" xfId="1" applyFill="1" applyBorder="1" applyAlignment="1" applyProtection="1">
      <alignment horizontal="center" vertical="center" wrapText="1"/>
    </xf>
    <xf numFmtId="0" fontId="4" fillId="9" borderId="8" xfId="1" applyFill="1" applyBorder="1" applyAlignment="1" applyProtection="1">
      <alignment horizontal="center" vertical="center" wrapText="1"/>
    </xf>
    <xf numFmtId="0" fontId="4" fillId="6" borderId="1" xfId="1" applyFill="1" applyBorder="1" applyAlignment="1" applyProtection="1">
      <alignment horizontal="center" vertical="center" wrapText="1"/>
    </xf>
    <xf numFmtId="0" fontId="4" fillId="6" borderId="3" xfId="1" applyFill="1" applyBorder="1" applyAlignment="1" applyProtection="1">
      <alignment horizontal="center" vertical="center" wrapText="1"/>
    </xf>
    <xf numFmtId="0" fontId="4" fillId="6" borderId="4" xfId="1" applyFill="1" applyBorder="1" applyAlignment="1" applyProtection="1">
      <alignment horizontal="center" vertical="center" wrapText="1"/>
    </xf>
    <xf numFmtId="0" fontId="4" fillId="6" borderId="5" xfId="1" applyFill="1" applyBorder="1" applyAlignment="1" applyProtection="1">
      <alignment horizontal="center" vertical="center" wrapText="1"/>
    </xf>
    <xf numFmtId="0" fontId="4" fillId="6" borderId="6" xfId="1" applyFill="1" applyBorder="1" applyAlignment="1" applyProtection="1">
      <alignment horizontal="center" vertical="center" wrapText="1"/>
    </xf>
    <xf numFmtId="0" fontId="4" fillId="6" borderId="8" xfId="1" applyFill="1" applyBorder="1" applyAlignment="1" applyProtection="1">
      <alignment horizontal="center" vertical="center" wrapText="1"/>
    </xf>
    <xf numFmtId="0" fontId="2" fillId="2" borderId="10" xfId="0" applyFont="1" applyFill="1" applyBorder="1" applyAlignment="1">
      <alignment horizontal="center" vertical="center"/>
    </xf>
    <xf numFmtId="0" fontId="37" fillId="2" borderId="0" xfId="0" applyFont="1" applyFill="1" applyBorder="1" applyAlignment="1">
      <alignment horizontal="left" vertical="top" wrapText="1"/>
    </xf>
    <xf numFmtId="0" fontId="20" fillId="2" borderId="0" xfId="0" applyFont="1" applyFill="1" applyBorder="1" applyAlignment="1">
      <alignment horizontal="left" vertical="center" wrapText="1"/>
    </xf>
    <xf numFmtId="0" fontId="27" fillId="7" borderId="21" xfId="0" applyFont="1" applyFill="1" applyBorder="1" applyAlignment="1">
      <alignment horizontal="center" vertical="center"/>
    </xf>
    <xf numFmtId="0" fontId="27" fillId="7" borderId="22" xfId="0" applyFont="1" applyFill="1" applyBorder="1" applyAlignment="1">
      <alignment horizontal="center" vertical="center"/>
    </xf>
    <xf numFmtId="0" fontId="27" fillId="7" borderId="23"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0" fillId="2" borderId="0"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0"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93" fillId="2" borderId="21" xfId="0" applyNumberFormat="1" applyFont="1" applyFill="1" applyBorder="1" applyAlignment="1">
      <alignment horizontal="center" vertical="center" wrapText="1"/>
    </xf>
    <xf numFmtId="0" fontId="93" fillId="2" borderId="22" xfId="0" applyNumberFormat="1" applyFont="1" applyFill="1" applyBorder="1" applyAlignment="1">
      <alignment horizontal="center" vertical="center" wrapText="1"/>
    </xf>
    <xf numFmtId="0" fontId="93" fillId="2" borderId="23" xfId="0" applyNumberFormat="1" applyFont="1" applyFill="1" applyBorder="1" applyAlignment="1">
      <alignment horizontal="center" vertical="center" wrapText="1"/>
    </xf>
    <xf numFmtId="0" fontId="46" fillId="2" borderId="0" xfId="0" applyFont="1" applyFill="1" applyBorder="1" applyAlignment="1">
      <alignment horizontal="center" vertical="center"/>
    </xf>
    <xf numFmtId="0" fontId="17" fillId="2" borderId="0" xfId="0" applyFont="1" applyFill="1" applyBorder="1" applyAlignment="1">
      <alignment horizontal="left" vertical="center" wrapText="1"/>
    </xf>
    <xf numFmtId="0" fontId="17" fillId="2" borderId="12" xfId="0" applyFont="1" applyFill="1" applyBorder="1" applyAlignment="1">
      <alignment horizontal="center" vertical="center"/>
    </xf>
    <xf numFmtId="0" fontId="46" fillId="2" borderId="10" xfId="0" applyFont="1" applyFill="1" applyBorder="1" applyAlignment="1">
      <alignment horizontal="center" vertical="center"/>
    </xf>
    <xf numFmtId="0" fontId="34" fillId="2" borderId="0" xfId="0" applyFont="1" applyFill="1" applyBorder="1" applyAlignment="1">
      <alignment horizontal="center" vertical="center"/>
    </xf>
    <xf numFmtId="0" fontId="17" fillId="2" borderId="12" xfId="0" applyFont="1" applyFill="1" applyBorder="1" applyAlignment="1">
      <alignment horizontal="center" wrapText="1"/>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0" fillId="2" borderId="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2" xfId="0" applyFont="1" applyFill="1" applyBorder="1" applyAlignment="1">
      <alignment vertical="top" wrapText="1"/>
    </xf>
    <xf numFmtId="0" fontId="2" fillId="2" borderId="0" xfId="0" applyFont="1" applyFill="1" applyBorder="1" applyAlignment="1">
      <alignment vertical="top" wrapText="1"/>
    </xf>
    <xf numFmtId="0" fontId="2" fillId="2" borderId="10" xfId="0" applyFont="1" applyFill="1" applyBorder="1" applyAlignment="1">
      <alignment vertical="top"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1" xfId="0" applyFont="1" applyFill="1" applyBorder="1" applyAlignment="1">
      <alignment horizontal="left" wrapText="1"/>
    </xf>
    <xf numFmtId="0" fontId="20" fillId="2" borderId="12" xfId="0" applyFont="1" applyFill="1" applyBorder="1" applyAlignment="1">
      <alignment horizontal="left" vertical="top"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5" xfId="0" applyFont="1" applyFill="1" applyBorder="1" applyAlignment="1">
      <alignment horizontal="center" vertical="center" wrapText="1"/>
    </xf>
    <xf numFmtId="1" fontId="33" fillId="2" borderId="6" xfId="0" applyNumberFormat="1" applyFont="1" applyFill="1" applyBorder="1" applyAlignment="1">
      <alignment horizontal="center" vertical="center"/>
    </xf>
    <xf numFmtId="1" fontId="33" fillId="2" borderId="7" xfId="0" applyNumberFormat="1" applyFont="1" applyFill="1" applyBorder="1" applyAlignment="1">
      <alignment horizontal="center" vertical="center"/>
    </xf>
    <xf numFmtId="1" fontId="33" fillId="2" borderId="8" xfId="0" applyNumberFormat="1" applyFont="1" applyFill="1" applyBorder="1" applyAlignment="1">
      <alignment horizontal="center" vertical="center"/>
    </xf>
    <xf numFmtId="1" fontId="33" fillId="2" borderId="4" xfId="0" applyNumberFormat="1" applyFont="1" applyFill="1" applyBorder="1" applyAlignment="1">
      <alignment horizontal="center" vertical="center" wrapText="1"/>
    </xf>
    <xf numFmtId="1" fontId="33" fillId="2" borderId="0" xfId="0" applyNumberFormat="1" applyFont="1" applyFill="1" applyBorder="1" applyAlignment="1">
      <alignment horizontal="center" vertical="center" wrapText="1"/>
    </xf>
    <xf numFmtId="1" fontId="33" fillId="2" borderId="5" xfId="0" applyNumberFormat="1" applyFont="1" applyFill="1" applyBorder="1" applyAlignment="1">
      <alignment horizontal="center" vertical="center" wrapText="1"/>
    </xf>
    <xf numFmtId="1" fontId="33" fillId="2" borderId="4" xfId="0" applyNumberFormat="1" applyFont="1" applyFill="1" applyBorder="1" applyAlignment="1">
      <alignment horizontal="center" vertical="center"/>
    </xf>
    <xf numFmtId="1" fontId="33" fillId="2" borderId="0" xfId="0" applyNumberFormat="1" applyFont="1" applyFill="1" applyBorder="1" applyAlignment="1">
      <alignment horizontal="center" vertical="center"/>
    </xf>
    <xf numFmtId="1" fontId="33" fillId="2" borderId="5"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 fillId="2" borderId="12" xfId="0" applyFont="1" applyFill="1" applyBorder="1" applyAlignment="1">
      <alignment horizontal="left" vertical="center"/>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8" borderId="21" xfId="0" applyFont="1" applyFill="1" applyBorder="1" applyAlignment="1">
      <alignment horizontal="center" vertical="center"/>
    </xf>
    <xf numFmtId="0" fontId="16" fillId="8" borderId="22" xfId="0" applyFont="1" applyFill="1" applyBorder="1" applyAlignment="1">
      <alignment horizontal="center" vertical="center"/>
    </xf>
    <xf numFmtId="0" fontId="16" fillId="8" borderId="23" xfId="0" applyFont="1" applyFill="1" applyBorder="1" applyAlignment="1">
      <alignment horizontal="center" vertical="center"/>
    </xf>
    <xf numFmtId="0" fontId="20" fillId="2" borderId="9" xfId="0" applyFont="1" applyFill="1" applyBorder="1" applyAlignment="1">
      <alignment horizontal="left" vertical="center" wrapText="1"/>
    </xf>
    <xf numFmtId="0" fontId="22" fillId="3" borderId="14"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5" xfId="0" applyFont="1" applyFill="1" applyBorder="1" applyAlignment="1">
      <alignment horizontal="center" vertical="center"/>
    </xf>
    <xf numFmtId="0" fontId="90" fillId="2" borderId="34" xfId="0" applyFont="1" applyFill="1" applyBorder="1" applyAlignment="1">
      <alignment horizontal="center" vertical="center" wrapText="1"/>
    </xf>
    <xf numFmtId="0" fontId="90" fillId="2" borderId="34" xfId="0" applyFont="1" applyFill="1" applyBorder="1" applyAlignment="1">
      <alignment horizontal="left" vertical="center" wrapText="1"/>
    </xf>
    <xf numFmtId="0" fontId="16" fillId="9" borderId="1"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3"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1" xfId="0" applyFont="1" applyFill="1" applyBorder="1" applyAlignment="1">
      <alignment horizontal="center" vertical="center" wrapText="1"/>
    </xf>
    <xf numFmtId="0" fontId="91"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0" fillId="2" borderId="0" xfId="0" applyFill="1" applyBorder="1" applyAlignment="1">
      <alignment horizontal="left" wrapText="1"/>
    </xf>
    <xf numFmtId="0" fontId="3" fillId="2" borderId="0" xfId="0" applyFont="1" applyFill="1" applyBorder="1" applyAlignment="1">
      <alignment horizontal="left" vertical="center" wrapText="1"/>
    </xf>
    <xf numFmtId="0" fontId="20" fillId="2" borderId="12" xfId="0" applyFont="1" applyFill="1" applyBorder="1" applyAlignment="1">
      <alignment horizontal="center" vertical="center"/>
    </xf>
    <xf numFmtId="0" fontId="20" fillId="2" borderId="10" xfId="0" applyFont="1" applyFill="1" applyBorder="1" applyAlignment="1">
      <alignment horizontal="center" vertical="center"/>
    </xf>
    <xf numFmtId="0" fontId="16" fillId="6" borderId="21" xfId="0" applyFont="1" applyFill="1" applyBorder="1" applyAlignment="1">
      <alignment horizontal="left" vertical="center"/>
    </xf>
    <xf numFmtId="0" fontId="16" fillId="6" borderId="22" xfId="0" applyFont="1" applyFill="1" applyBorder="1" applyAlignment="1">
      <alignment horizontal="left" vertical="center"/>
    </xf>
    <xf numFmtId="0" fontId="16" fillId="6" borderId="23" xfId="0" applyFont="1" applyFill="1" applyBorder="1" applyAlignment="1">
      <alignment horizontal="left" vertical="center"/>
    </xf>
    <xf numFmtId="0" fontId="2" fillId="2" borderId="10" xfId="0" applyFont="1" applyFill="1" applyBorder="1" applyAlignment="1">
      <alignment horizontal="center" vertical="top"/>
    </xf>
    <xf numFmtId="0" fontId="20" fillId="2" borderId="10" xfId="0" applyFont="1" applyFill="1" applyBorder="1" applyAlignment="1">
      <alignment horizontal="center" vertical="center" wrapText="1"/>
    </xf>
    <xf numFmtId="0" fontId="14" fillId="5" borderId="11" xfId="0" applyFont="1" applyFill="1" applyBorder="1" applyAlignment="1">
      <alignment horizontal="center" vertical="center"/>
    </xf>
    <xf numFmtId="0" fontId="16" fillId="6" borderId="21"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3" xfId="0" applyFont="1" applyFill="1" applyBorder="1" applyAlignment="1">
      <alignment horizontal="center" vertical="center"/>
    </xf>
  </cellXfs>
  <cellStyles count="7">
    <cellStyle name="Comma" xfId="5" builtinId="3"/>
    <cellStyle name="Comma 2" xfId="2"/>
    <cellStyle name="Hyperlink" xfId="1" builtinId="8"/>
    <cellStyle name="Normal" xfId="0" builtinId="0"/>
    <cellStyle name="Normal 2" xfId="3"/>
    <cellStyle name="Percent" xfId="6" builtinId="5"/>
    <cellStyle name="Percent 2" xfId="4"/>
  </cellStyles>
  <dxfs count="227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colors>
    <mruColors>
      <color rgb="FF245BA7"/>
      <color rgb="FFC00000"/>
      <color rgb="FFE51935"/>
      <color rgb="FF00AF3D"/>
      <color rgb="FFFFFF64"/>
      <color rgb="FFEE6074"/>
      <color rgb="FF79FFA9"/>
      <color rgb="FFFFFF37"/>
      <color rgb="FFEFF96F"/>
      <color rgb="FFF59DE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29243</xdr:colOff>
      <xdr:row>1</xdr:row>
      <xdr:rowOff>12728</xdr:rowOff>
    </xdr:from>
    <xdr:to>
      <xdr:col>12</xdr:col>
      <xdr:colOff>320806</xdr:colOff>
      <xdr:row>24</xdr:row>
      <xdr:rowOff>137201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rcRect l="10072" t="5597" r="5256" b="8745"/>
        <a:stretch>
          <a:fillRect/>
        </a:stretch>
      </xdr:blipFill>
      <xdr:spPr>
        <a:xfrm>
          <a:off x="291181" y="203228"/>
          <a:ext cx="6840000" cy="4505973"/>
        </a:xfrm>
        <a:prstGeom prst="rect">
          <a:avLst/>
        </a:prstGeom>
      </xdr:spPr>
    </xdr:pic>
    <xdr:clientData/>
  </xdr:twoCellAnchor>
  <xdr:twoCellAnchor editAs="oneCell">
    <xdr:from>
      <xdr:col>1</xdr:col>
      <xdr:colOff>114973</xdr:colOff>
      <xdr:row>25</xdr:row>
      <xdr:rowOff>46856</xdr:rowOff>
    </xdr:from>
    <xdr:to>
      <xdr:col>3</xdr:col>
      <xdr:colOff>260967</xdr:colOff>
      <xdr:row>27</xdr:row>
      <xdr:rowOff>97856</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376911" y="4809356"/>
          <a:ext cx="1336619" cy="432000"/>
        </a:xfrm>
        <a:prstGeom prst="rect">
          <a:avLst/>
        </a:prstGeom>
      </xdr:spPr>
    </xdr:pic>
    <xdr:clientData/>
  </xdr:twoCellAnchor>
  <xdr:twoCellAnchor>
    <xdr:from>
      <xdr:col>4</xdr:col>
      <xdr:colOff>571496</xdr:colOff>
      <xdr:row>25</xdr:row>
      <xdr:rowOff>43778</xdr:rowOff>
    </xdr:from>
    <xdr:to>
      <xdr:col>9</xdr:col>
      <xdr:colOff>71431</xdr:colOff>
      <xdr:row>27</xdr:row>
      <xdr:rowOff>23813</xdr:rowOff>
    </xdr:to>
    <xdr:sp macro="" textlink="">
      <xdr:nvSpPr>
        <xdr:cNvPr id="7" name="Rectangle 6">
          <a:extLst>
            <a:ext uri="{FF2B5EF4-FFF2-40B4-BE49-F238E27FC236}">
              <a16:creationId xmlns:a16="http://schemas.microsoft.com/office/drawing/2014/main" xmlns="" id="{00000000-0008-0000-0000-000007000000}"/>
            </a:ext>
          </a:extLst>
        </xdr:cNvPr>
        <xdr:cNvSpPr/>
      </xdr:nvSpPr>
      <xdr:spPr>
        <a:xfrm>
          <a:off x="2619371" y="4806278"/>
          <a:ext cx="2476498" cy="361035"/>
        </a:xfrm>
        <a:prstGeom prst="rect">
          <a:avLst/>
        </a:prstGeom>
      </xdr:spPr>
      <xdr:txBody>
        <a:bodyPr wrap="square" lIns="0" tIns="0" rIns="0" bIns="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800" b="1" i="0">
              <a:effectLst/>
              <a:latin typeface="+mn-lt"/>
            </a:rPr>
            <a:t>This project has received funding from the European Union’s Horizon 2020 research and innovation programme under grant agreement No. </a:t>
          </a:r>
          <a:r>
            <a:rPr lang="cs-CZ" sz="800" b="1" i="0" kern="1200">
              <a:effectLst/>
              <a:latin typeface="+mn-lt"/>
            </a:rPr>
            <a:t>769458</a:t>
          </a:r>
          <a:endParaRPr lang="en-US" sz="800" b="1">
            <a:latin typeface="+mn-lt"/>
          </a:endParaRPr>
        </a:p>
      </xdr:txBody>
    </xdr:sp>
    <xdr:clientData/>
  </xdr:twoCellAnchor>
  <xdr:twoCellAnchor editAs="oneCell">
    <xdr:from>
      <xdr:col>3</xdr:col>
      <xdr:colOff>392905</xdr:colOff>
      <xdr:row>25</xdr:row>
      <xdr:rowOff>35641</xdr:rowOff>
    </xdr:from>
    <xdr:to>
      <xdr:col>4</xdr:col>
      <xdr:colOff>455162</xdr:colOff>
      <xdr:row>27</xdr:row>
      <xdr:rowOff>85261</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a:ext>
          </a:extLst>
        </a:blip>
        <a:stretch>
          <a:fillRect/>
        </a:stretch>
      </xdr:blipFill>
      <xdr:spPr>
        <a:xfrm>
          <a:off x="1845468" y="4798141"/>
          <a:ext cx="657569" cy="430620"/>
        </a:xfrm>
        <a:prstGeom prst="rect">
          <a:avLst/>
        </a:prstGeom>
      </xdr:spPr>
    </xdr:pic>
    <xdr:clientData/>
  </xdr:twoCellAnchor>
  <xdr:twoCellAnchor>
    <xdr:from>
      <xdr:col>7</xdr:col>
      <xdr:colOff>80130</xdr:colOff>
      <xdr:row>9</xdr:row>
      <xdr:rowOff>122542</xdr:rowOff>
    </xdr:from>
    <xdr:to>
      <xdr:col>12</xdr:col>
      <xdr:colOff>291796</xdr:colOff>
      <xdr:row>12</xdr:row>
      <xdr:rowOff>164983</xdr:rowOff>
    </xdr:to>
    <xdr:sp macro="" textlink="">
      <xdr:nvSpPr>
        <xdr:cNvPr id="9" name="Rectangle 8">
          <a:extLst>
            <a:ext uri="{FF2B5EF4-FFF2-40B4-BE49-F238E27FC236}">
              <a16:creationId xmlns:a16="http://schemas.microsoft.com/office/drawing/2014/main" xmlns="" id="{00000000-0008-0000-0000-000009000000}"/>
            </a:ext>
          </a:extLst>
        </xdr:cNvPr>
        <xdr:cNvSpPr/>
      </xdr:nvSpPr>
      <xdr:spPr>
        <a:xfrm>
          <a:off x="3849309" y="1837042"/>
          <a:ext cx="3137201" cy="613941"/>
        </a:xfrm>
        <a:prstGeom prst="rect">
          <a:avLst/>
        </a:prstGeom>
      </xdr:spPr>
      <xdr:txBody>
        <a:bodyPr wrap="square" lIns="0" tIns="0" rIns="0" bIns="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2000" b="1" i="0">
              <a:effectLst/>
              <a:latin typeface="+mn-lt"/>
            </a:rPr>
            <a:t>ROADSPACE ALLOCATION</a:t>
          </a:r>
        </a:p>
        <a:p>
          <a:pPr marL="0" marR="0" indent="0" algn="ctr" defTabSz="914400" rtl="0" eaLnBrk="1" fontAlgn="auto" latinLnBrk="0" hangingPunct="1">
            <a:lnSpc>
              <a:spcPct val="100000"/>
            </a:lnSpc>
            <a:spcBef>
              <a:spcPts val="0"/>
            </a:spcBef>
            <a:spcAft>
              <a:spcPts val="0"/>
            </a:spcAft>
            <a:buClrTx/>
            <a:buSzTx/>
            <a:buFontTx/>
            <a:buNone/>
            <a:tabLst/>
            <a:defRPr/>
          </a:pPr>
          <a:r>
            <a:rPr lang="en-GB" sz="2000" b="1" i="0" kern="1200">
              <a:solidFill>
                <a:schemeClr val="tx1"/>
              </a:solidFill>
              <a:latin typeface="+mn-lt"/>
              <a:ea typeface="+mn-ea"/>
              <a:cs typeface="+mn-cs"/>
            </a:rPr>
            <a:t>OPTION APPRAISAL</a:t>
          </a:r>
          <a:r>
            <a:rPr lang="en-GB" sz="2000" b="1" i="0" kern="1200" baseline="0">
              <a:solidFill>
                <a:schemeClr val="tx1"/>
              </a:solidFill>
              <a:latin typeface="+mn-lt"/>
              <a:ea typeface="+mn-ea"/>
              <a:cs typeface="+mn-cs"/>
            </a:rPr>
            <a:t> </a:t>
          </a:r>
          <a:r>
            <a:rPr lang="en-GB" sz="2000" b="1" i="0" kern="1200">
              <a:solidFill>
                <a:schemeClr val="tx1"/>
              </a:solidFill>
              <a:latin typeface="+mn-lt"/>
              <a:ea typeface="+mn-ea"/>
              <a:cs typeface="+mn-cs"/>
            </a:rPr>
            <a:t>TOOL</a:t>
          </a:r>
          <a:endParaRPr lang="en-GB" sz="2000"/>
        </a:p>
        <a:p>
          <a:pPr algn="ctr"/>
          <a:endParaRPr lang="en-GB" sz="2000" b="1" i="0">
            <a:effectLst/>
            <a:latin typeface="+mn-lt"/>
          </a:endParaRPr>
        </a:p>
      </xdr:txBody>
    </xdr:sp>
    <xdr:clientData/>
  </xdr:twoCellAnchor>
  <xdr:twoCellAnchor editAs="oneCell">
    <xdr:from>
      <xdr:col>9</xdr:col>
      <xdr:colOff>229334</xdr:colOff>
      <xdr:row>24</xdr:row>
      <xdr:rowOff>135731</xdr:rowOff>
    </xdr:from>
    <xdr:to>
      <xdr:col>12</xdr:col>
      <xdr:colOff>285749</xdr:colOff>
      <xdr:row>27</xdr:row>
      <xdr:rowOff>104231</xdr:rowOff>
    </xdr:to>
    <xdr:pic>
      <xdr:nvPicPr>
        <xdr:cNvPr id="2075" name="Picture 27">
          <a:extLst>
            <a:ext uri="{FF2B5EF4-FFF2-40B4-BE49-F238E27FC236}">
              <a16:creationId xmlns:a16="http://schemas.microsoft.com/office/drawing/2014/main" xmlns="" id="{00000000-0008-0000-0000-00001B0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253772" y="4707731"/>
          <a:ext cx="1842352" cy="540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53887</xdr:colOff>
      <xdr:row>4</xdr:row>
      <xdr:rowOff>46565</xdr:rowOff>
    </xdr:from>
    <xdr:to>
      <xdr:col>9</xdr:col>
      <xdr:colOff>512235</xdr:colOff>
      <xdr:row>4</xdr:row>
      <xdr:rowOff>82565</xdr:rowOff>
    </xdr:to>
    <xdr:pic>
      <xdr:nvPicPr>
        <xdr:cNvPr id="10" name="Picture 9">
          <a:extLst>
            <a:ext uri="{FF2B5EF4-FFF2-40B4-BE49-F238E27FC236}">
              <a16:creationId xmlns:a16="http://schemas.microsoft.com/office/drawing/2014/main" xmlns="" id="{00000000-0008-0000-0100-00000A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rot="10800000">
          <a:off x="466637" y="1126065"/>
          <a:ext cx="6480000" cy="36000"/>
        </a:xfrm>
        <a:prstGeom prst="rect">
          <a:avLst/>
        </a:prstGeom>
        <a:noFill/>
        <a:ln>
          <a:noFill/>
        </a:ln>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Lst>
      </xdr:spPr>
    </xdr:pic>
    <xdr:clientData/>
  </xdr:twoCellAnchor>
  <xdr:twoCellAnchor editAs="oneCell">
    <xdr:from>
      <xdr:col>2</xdr:col>
      <xdr:colOff>36954</xdr:colOff>
      <xdr:row>15</xdr:row>
      <xdr:rowOff>61382</xdr:rowOff>
    </xdr:from>
    <xdr:to>
      <xdr:col>9</xdr:col>
      <xdr:colOff>492655</xdr:colOff>
      <xdr:row>15</xdr:row>
      <xdr:rowOff>97382</xdr:rowOff>
    </xdr:to>
    <xdr:pic>
      <xdr:nvPicPr>
        <xdr:cNvPr id="5" name="Picture 4">
          <a:extLst>
            <a:ext uri="{FF2B5EF4-FFF2-40B4-BE49-F238E27FC236}">
              <a16:creationId xmlns:a16="http://schemas.microsoft.com/office/drawing/2014/main" xmlns="" id="{00000000-0008-0000-0100-000005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rot="10800000">
          <a:off x="449704" y="2601382"/>
          <a:ext cx="6480000" cy="36000"/>
        </a:xfrm>
        <a:prstGeom prst="rect">
          <a:avLst/>
        </a:prstGeom>
        <a:noFill/>
        <a:ln>
          <a:noFill/>
        </a:ln>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Lst>
      </xdr:spPr>
    </xdr:pic>
    <xdr:clientData/>
  </xdr:twoCellAnchor>
  <xdr:twoCellAnchor editAs="oneCell">
    <xdr:from>
      <xdr:col>2</xdr:col>
      <xdr:colOff>30604</xdr:colOff>
      <xdr:row>24</xdr:row>
      <xdr:rowOff>44449</xdr:rowOff>
    </xdr:from>
    <xdr:to>
      <xdr:col>9</xdr:col>
      <xdr:colOff>486305</xdr:colOff>
      <xdr:row>24</xdr:row>
      <xdr:rowOff>80449</xdr:rowOff>
    </xdr:to>
    <xdr:pic>
      <xdr:nvPicPr>
        <xdr:cNvPr id="6" name="Picture 5">
          <a:extLst>
            <a:ext uri="{FF2B5EF4-FFF2-40B4-BE49-F238E27FC236}">
              <a16:creationId xmlns:a16="http://schemas.microsoft.com/office/drawing/2014/main" xmlns="" id="{00000000-0008-0000-0100-000006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rot="10800000">
          <a:off x="443354" y="4140199"/>
          <a:ext cx="6480000" cy="36000"/>
        </a:xfrm>
        <a:prstGeom prst="rect">
          <a:avLst/>
        </a:prstGeom>
        <a:noFill/>
        <a:ln>
          <a:noFill/>
        </a:ln>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42332</xdr:colOff>
      <xdr:row>4</xdr:row>
      <xdr:rowOff>10583</xdr:rowOff>
    </xdr:from>
    <xdr:to>
      <xdr:col>15</xdr:col>
      <xdr:colOff>952500</xdr:colOff>
      <xdr:row>4</xdr:row>
      <xdr:rowOff>46583</xdr:rowOff>
    </xdr:to>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455082" y="878416"/>
          <a:ext cx="7715251" cy="36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25399</xdr:colOff>
      <xdr:row>14</xdr:row>
      <xdr:rowOff>25399</xdr:rowOff>
    </xdr:from>
    <xdr:to>
      <xdr:col>15</xdr:col>
      <xdr:colOff>935567</xdr:colOff>
      <xdr:row>14</xdr:row>
      <xdr:rowOff>61399</xdr:rowOff>
    </xdr:to>
    <xdr:sp macro="" textlink="">
      <xdr:nvSpPr>
        <xdr:cNvPr id="3" name="Rectangle 2">
          <a:extLst>
            <a:ext uri="{FF2B5EF4-FFF2-40B4-BE49-F238E27FC236}">
              <a16:creationId xmlns:a16="http://schemas.microsoft.com/office/drawing/2014/main" xmlns="" id="{00000000-0008-0000-0200-000003000000}"/>
            </a:ext>
          </a:extLst>
        </xdr:cNvPr>
        <xdr:cNvSpPr/>
      </xdr:nvSpPr>
      <xdr:spPr>
        <a:xfrm>
          <a:off x="438149" y="3285066"/>
          <a:ext cx="7715251" cy="36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8466</xdr:colOff>
      <xdr:row>37</xdr:row>
      <xdr:rowOff>40216</xdr:rowOff>
    </xdr:from>
    <xdr:to>
      <xdr:col>15</xdr:col>
      <xdr:colOff>918634</xdr:colOff>
      <xdr:row>37</xdr:row>
      <xdr:rowOff>76216</xdr:rowOff>
    </xdr:to>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421216" y="7363883"/>
          <a:ext cx="7715251" cy="36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53887</xdr:colOff>
      <xdr:row>4</xdr:row>
      <xdr:rowOff>50374</xdr:rowOff>
    </xdr:from>
    <xdr:to>
      <xdr:col>14</xdr:col>
      <xdr:colOff>118849</xdr:colOff>
      <xdr:row>4</xdr:row>
      <xdr:rowOff>86832</xdr:rowOff>
    </xdr:to>
    <xdr:sp macro="" textlink="">
      <xdr:nvSpPr>
        <xdr:cNvPr id="4" name="Rectangle 3">
          <a:extLst>
            <a:ext uri="{FF2B5EF4-FFF2-40B4-BE49-F238E27FC236}">
              <a16:creationId xmlns:a16="http://schemas.microsoft.com/office/drawing/2014/main" xmlns="" id="{00000000-0008-0000-0700-000004000000}"/>
            </a:ext>
          </a:extLst>
        </xdr:cNvPr>
        <xdr:cNvSpPr/>
      </xdr:nvSpPr>
      <xdr:spPr>
        <a:xfrm>
          <a:off x="470606" y="937390"/>
          <a:ext cx="6458618" cy="3645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15</xdr:row>
      <xdr:rowOff>50374</xdr:rowOff>
    </xdr:from>
    <xdr:to>
      <xdr:col>14</xdr:col>
      <xdr:colOff>118849</xdr:colOff>
      <xdr:row>15</xdr:row>
      <xdr:rowOff>86832</xdr:rowOff>
    </xdr:to>
    <xdr:sp macro="" textlink="">
      <xdr:nvSpPr>
        <xdr:cNvPr id="3" name="Rectangle 2">
          <a:extLst>
            <a:ext uri="{FF2B5EF4-FFF2-40B4-BE49-F238E27FC236}">
              <a16:creationId xmlns:a16="http://schemas.microsoft.com/office/drawing/2014/main" xmlns="" id="{00000000-0008-0000-0700-000003000000}"/>
            </a:ext>
          </a:extLst>
        </xdr:cNvPr>
        <xdr:cNvSpPr/>
      </xdr:nvSpPr>
      <xdr:spPr>
        <a:xfrm>
          <a:off x="466637" y="939374"/>
          <a:ext cx="6478462" cy="3645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10</xdr:row>
      <xdr:rowOff>50374</xdr:rowOff>
    </xdr:from>
    <xdr:to>
      <xdr:col>14</xdr:col>
      <xdr:colOff>118849</xdr:colOff>
      <xdr:row>10</xdr:row>
      <xdr:rowOff>86832</xdr:rowOff>
    </xdr:to>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466637" y="2262291"/>
          <a:ext cx="6478462" cy="3645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53887</xdr:colOff>
      <xdr:row>4</xdr:row>
      <xdr:rowOff>50374</xdr:rowOff>
    </xdr:from>
    <xdr:to>
      <xdr:col>14</xdr:col>
      <xdr:colOff>118849</xdr:colOff>
      <xdr:row>4</xdr:row>
      <xdr:rowOff>86832</xdr:rowOff>
    </xdr:to>
    <xdr:sp macro="" textlink="">
      <xdr:nvSpPr>
        <xdr:cNvPr id="2" name="Rectangle 1">
          <a:extLst>
            <a:ext uri="{FF2B5EF4-FFF2-40B4-BE49-F238E27FC236}">
              <a16:creationId xmlns:a16="http://schemas.microsoft.com/office/drawing/2014/main" xmlns="" id="{00000000-0008-0000-0A00-000002000000}"/>
            </a:ext>
          </a:extLst>
        </xdr:cNvPr>
        <xdr:cNvSpPr/>
      </xdr:nvSpPr>
      <xdr:spPr>
        <a:xfrm>
          <a:off x="492037" y="939374"/>
          <a:ext cx="6745162" cy="36458"/>
        </a:xfrm>
        <a:prstGeom prst="rect">
          <a:avLst/>
        </a:prstGeom>
        <a:solidFill>
          <a:srgbClr val="E519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13</xdr:row>
      <xdr:rowOff>50374</xdr:rowOff>
    </xdr:from>
    <xdr:to>
      <xdr:col>14</xdr:col>
      <xdr:colOff>118849</xdr:colOff>
      <xdr:row>13</xdr:row>
      <xdr:rowOff>86832</xdr:rowOff>
    </xdr:to>
    <xdr:sp macro="" textlink="">
      <xdr:nvSpPr>
        <xdr:cNvPr id="3" name="Rectangle 2">
          <a:extLst>
            <a:ext uri="{FF2B5EF4-FFF2-40B4-BE49-F238E27FC236}">
              <a16:creationId xmlns:a16="http://schemas.microsoft.com/office/drawing/2014/main" xmlns="" id="{00000000-0008-0000-0A00-000003000000}"/>
            </a:ext>
          </a:extLst>
        </xdr:cNvPr>
        <xdr:cNvSpPr/>
      </xdr:nvSpPr>
      <xdr:spPr>
        <a:xfrm>
          <a:off x="492037" y="3212674"/>
          <a:ext cx="6745162" cy="36458"/>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8</xdr:row>
      <xdr:rowOff>50374</xdr:rowOff>
    </xdr:from>
    <xdr:to>
      <xdr:col>14</xdr:col>
      <xdr:colOff>118849</xdr:colOff>
      <xdr:row>8</xdr:row>
      <xdr:rowOff>86832</xdr:rowOff>
    </xdr:to>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492037" y="2349074"/>
          <a:ext cx="6745162" cy="36458"/>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53887</xdr:colOff>
      <xdr:row>4</xdr:row>
      <xdr:rowOff>50374</xdr:rowOff>
    </xdr:from>
    <xdr:to>
      <xdr:col>14</xdr:col>
      <xdr:colOff>118849</xdr:colOff>
      <xdr:row>4</xdr:row>
      <xdr:rowOff>86832</xdr:rowOff>
    </xdr:to>
    <xdr:sp macro="" textlink="">
      <xdr:nvSpPr>
        <xdr:cNvPr id="2" name="Rectangle 1">
          <a:extLst>
            <a:ext uri="{FF2B5EF4-FFF2-40B4-BE49-F238E27FC236}">
              <a16:creationId xmlns:a16="http://schemas.microsoft.com/office/drawing/2014/main" xmlns="" id="{00000000-0008-0000-0D00-000002000000}"/>
            </a:ext>
          </a:extLst>
        </xdr:cNvPr>
        <xdr:cNvSpPr/>
      </xdr:nvSpPr>
      <xdr:spPr>
        <a:xfrm>
          <a:off x="492037" y="939374"/>
          <a:ext cx="6745162" cy="36458"/>
        </a:xfrm>
        <a:prstGeom prst="rect">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14</xdr:row>
      <xdr:rowOff>50374</xdr:rowOff>
    </xdr:from>
    <xdr:to>
      <xdr:col>14</xdr:col>
      <xdr:colOff>118849</xdr:colOff>
      <xdr:row>14</xdr:row>
      <xdr:rowOff>86832</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492037" y="3212674"/>
          <a:ext cx="6745162" cy="36458"/>
        </a:xfrm>
        <a:prstGeom prst="rect">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53887</xdr:colOff>
      <xdr:row>9</xdr:row>
      <xdr:rowOff>50374</xdr:rowOff>
    </xdr:from>
    <xdr:to>
      <xdr:col>14</xdr:col>
      <xdr:colOff>118849</xdr:colOff>
      <xdr:row>9</xdr:row>
      <xdr:rowOff>86832</xdr:rowOff>
    </xdr:to>
    <xdr:sp macro="" textlink="">
      <xdr:nvSpPr>
        <xdr:cNvPr id="4" name="Rectangle 3">
          <a:extLst>
            <a:ext uri="{FF2B5EF4-FFF2-40B4-BE49-F238E27FC236}">
              <a16:creationId xmlns:a16="http://schemas.microsoft.com/office/drawing/2014/main" xmlns="" id="{00000000-0008-0000-0D00-000004000000}"/>
            </a:ext>
          </a:extLst>
        </xdr:cNvPr>
        <xdr:cNvSpPr/>
      </xdr:nvSpPr>
      <xdr:spPr>
        <a:xfrm>
          <a:off x="492037" y="2349074"/>
          <a:ext cx="6745162" cy="36458"/>
        </a:xfrm>
        <a:prstGeom prst="rect">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4.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31"/>
  <sheetViews>
    <sheetView zoomScale="80" zoomScaleNormal="80" workbookViewId="0"/>
  </sheetViews>
  <sheetFormatPr defaultColWidth="0" defaultRowHeight="15" customHeight="1" zeroHeight="1"/>
  <cols>
    <col min="1" max="1" width="3.85546875" style="1" customWidth="1"/>
    <col min="2" max="12" width="8.85546875" style="1" customWidth="1"/>
    <col min="13" max="13" width="5" style="1" customWidth="1"/>
    <col min="14" max="14" width="3.7109375" style="1" customWidth="1"/>
    <col min="15" max="21" width="0" style="1" hidden="1" customWidth="1"/>
    <col min="22" max="16384" width="8.85546875" style="1" hidden="1"/>
  </cols>
  <sheetData>
    <row r="1" spans="1:17" ht="15" customHeight="1" thickBot="1">
      <c r="N1" s="2"/>
      <c r="O1" s="2"/>
      <c r="P1" s="2"/>
      <c r="Q1" s="2"/>
    </row>
    <row r="2" spans="1:17" ht="15" customHeight="1">
      <c r="A2" s="2"/>
      <c r="B2" s="3"/>
      <c r="C2" s="4"/>
      <c r="D2" s="4"/>
      <c r="E2" s="4"/>
      <c r="F2" s="4"/>
      <c r="G2" s="4"/>
      <c r="H2" s="4"/>
      <c r="I2" s="4"/>
      <c r="J2" s="4"/>
      <c r="K2" s="4"/>
      <c r="L2" s="4"/>
      <c r="M2" s="5"/>
      <c r="N2" s="2"/>
      <c r="O2" s="2"/>
      <c r="P2" s="2"/>
      <c r="Q2" s="2"/>
    </row>
    <row r="3" spans="1:17" ht="15" customHeight="1">
      <c r="A3" s="2"/>
      <c r="B3" s="6"/>
      <c r="C3" s="2"/>
      <c r="D3" s="2"/>
      <c r="E3" s="2"/>
      <c r="F3" s="2"/>
      <c r="G3" s="2"/>
      <c r="H3" s="2"/>
      <c r="I3" s="2"/>
      <c r="J3" s="2"/>
      <c r="K3" s="2"/>
      <c r="L3" s="2"/>
      <c r="M3" s="7"/>
      <c r="N3" s="2"/>
      <c r="O3" s="2"/>
      <c r="P3" s="2"/>
      <c r="Q3" s="2"/>
    </row>
    <row r="4" spans="1:17" ht="15" customHeight="1">
      <c r="A4" s="2"/>
      <c r="B4" s="22"/>
      <c r="C4" s="18"/>
      <c r="D4" s="18"/>
      <c r="E4" s="18"/>
      <c r="F4" s="18"/>
      <c r="G4" s="2"/>
      <c r="H4" s="2"/>
      <c r="I4" s="2"/>
      <c r="J4" s="2"/>
      <c r="K4" s="2"/>
      <c r="L4" s="2"/>
      <c r="M4" s="7"/>
      <c r="N4" s="2"/>
      <c r="O4" s="2"/>
      <c r="P4" s="2"/>
      <c r="Q4" s="2"/>
    </row>
    <row r="5" spans="1:17" ht="15" customHeight="1">
      <c r="B5" s="23"/>
      <c r="C5" s="2"/>
      <c r="D5" s="2"/>
      <c r="E5" s="2"/>
      <c r="F5" s="2"/>
      <c r="G5" s="2"/>
      <c r="H5" s="2"/>
      <c r="I5" s="2"/>
      <c r="J5" s="2"/>
      <c r="K5" s="2"/>
      <c r="L5" s="2"/>
      <c r="M5" s="7"/>
      <c r="N5" s="2"/>
      <c r="O5" s="2"/>
      <c r="P5" s="2"/>
      <c r="Q5" s="2"/>
    </row>
    <row r="6" spans="1:17" ht="15" customHeight="1">
      <c r="B6" s="23"/>
      <c r="C6" s="2"/>
      <c r="D6" s="2"/>
      <c r="E6" s="2"/>
      <c r="F6" s="2"/>
      <c r="G6" s="2"/>
      <c r="H6" s="2"/>
      <c r="I6" s="2"/>
      <c r="J6" s="2"/>
      <c r="K6" s="2"/>
      <c r="L6" s="2"/>
      <c r="M6" s="7"/>
      <c r="N6" s="2"/>
      <c r="O6" s="2"/>
      <c r="P6" s="2"/>
      <c r="Q6" s="2"/>
    </row>
    <row r="7" spans="1:17" ht="15" customHeight="1">
      <c r="B7" s="23"/>
      <c r="C7" s="2"/>
      <c r="D7" s="2"/>
      <c r="E7" s="2"/>
      <c r="F7" s="2"/>
      <c r="G7" s="2"/>
      <c r="H7" s="2"/>
      <c r="I7" s="2"/>
      <c r="J7" s="2"/>
      <c r="K7" s="2"/>
      <c r="L7" s="2"/>
      <c r="M7" s="7"/>
      <c r="N7" s="2"/>
      <c r="O7" s="2"/>
      <c r="P7" s="2"/>
      <c r="Q7" s="2"/>
    </row>
    <row r="8" spans="1:17" ht="15" customHeight="1">
      <c r="B8" s="22"/>
      <c r="C8" s="18"/>
      <c r="D8" s="18"/>
      <c r="E8" s="18"/>
      <c r="F8" s="18"/>
      <c r="G8" s="2"/>
      <c r="H8" s="2"/>
      <c r="I8" s="2"/>
      <c r="J8" s="2"/>
      <c r="K8" s="2"/>
      <c r="L8" s="2"/>
      <c r="M8" s="7"/>
      <c r="N8" s="2"/>
      <c r="O8" s="2"/>
      <c r="P8" s="2"/>
      <c r="Q8" s="2"/>
    </row>
    <row r="9" spans="1:17" ht="15" customHeight="1">
      <c r="B9" s="24"/>
      <c r="C9" s="8"/>
      <c r="D9" s="8"/>
      <c r="E9" s="8"/>
      <c r="F9" s="8"/>
      <c r="G9" s="8"/>
      <c r="H9" s="8"/>
      <c r="I9" s="8"/>
      <c r="J9" s="8"/>
      <c r="K9" s="8"/>
      <c r="L9" s="8"/>
      <c r="M9" s="20"/>
      <c r="N9" s="2"/>
      <c r="O9" s="2"/>
      <c r="P9" s="2"/>
      <c r="Q9" s="2"/>
    </row>
    <row r="10" spans="1:17" ht="15" customHeight="1">
      <c r="B10" s="24"/>
      <c r="C10" s="8"/>
      <c r="D10" s="8"/>
      <c r="E10" s="8"/>
      <c r="F10" s="8"/>
      <c r="G10" s="8"/>
      <c r="H10" s="8"/>
      <c r="I10" s="8"/>
      <c r="J10" s="8"/>
      <c r="K10" s="8"/>
      <c r="L10" s="8"/>
      <c r="M10" s="20"/>
      <c r="N10" s="2"/>
      <c r="O10" s="2"/>
      <c r="P10" s="2"/>
      <c r="Q10" s="2"/>
    </row>
    <row r="11" spans="1:17" ht="15" customHeight="1">
      <c r="B11" s="24"/>
      <c r="C11" s="8"/>
      <c r="D11" s="8"/>
      <c r="E11" s="8"/>
      <c r="F11" s="8"/>
      <c r="G11" s="8"/>
      <c r="H11" s="8"/>
      <c r="I11" s="8"/>
      <c r="J11" s="8"/>
      <c r="K11" s="8"/>
      <c r="L11" s="8"/>
      <c r="M11" s="20"/>
      <c r="N11" s="2"/>
      <c r="O11" s="2"/>
      <c r="P11" s="2"/>
      <c r="Q11" s="2"/>
    </row>
    <row r="12" spans="1:17" ht="15" customHeight="1">
      <c r="B12" s="6"/>
      <c r="C12" s="2"/>
      <c r="D12" s="2"/>
      <c r="E12" s="2"/>
      <c r="F12" s="2"/>
      <c r="G12" s="2"/>
      <c r="H12" s="2"/>
      <c r="I12" s="2"/>
      <c r="J12" s="2"/>
      <c r="K12" s="2"/>
      <c r="L12" s="2"/>
      <c r="M12" s="7"/>
      <c r="N12" s="2"/>
      <c r="O12" s="2"/>
      <c r="P12" s="2"/>
      <c r="Q12" s="2"/>
    </row>
    <row r="13" spans="1:17" ht="15" customHeight="1">
      <c r="B13" s="6"/>
      <c r="C13" s="9"/>
      <c r="D13" s="10"/>
      <c r="E13" s="10"/>
      <c r="F13" s="10"/>
      <c r="G13" s="10"/>
      <c r="H13" s="10"/>
      <c r="I13" s="10"/>
      <c r="J13" s="10"/>
      <c r="K13" s="10"/>
      <c r="L13" s="10"/>
      <c r="M13" s="7"/>
      <c r="N13" s="2"/>
      <c r="O13" s="2"/>
      <c r="P13" s="2"/>
      <c r="Q13" s="2"/>
    </row>
    <row r="14" spans="1:17" ht="15" customHeight="1">
      <c r="B14" s="6"/>
      <c r="C14" s="2"/>
      <c r="D14" s="2"/>
      <c r="E14" s="2"/>
      <c r="F14" s="2"/>
      <c r="G14" s="2"/>
      <c r="H14" s="11"/>
      <c r="I14" s="2"/>
      <c r="J14" s="2"/>
      <c r="K14" s="2"/>
      <c r="L14" s="2"/>
      <c r="M14" s="7"/>
      <c r="N14" s="2"/>
      <c r="O14" s="2"/>
      <c r="P14" s="2"/>
      <c r="Q14" s="2"/>
    </row>
    <row r="15" spans="1:17" ht="15" customHeight="1">
      <c r="B15" s="6"/>
      <c r="C15" s="2"/>
      <c r="D15" s="2"/>
      <c r="E15" s="2"/>
      <c r="F15" s="2"/>
      <c r="G15" s="2"/>
      <c r="H15" s="2"/>
      <c r="I15" s="2"/>
      <c r="J15" s="2"/>
      <c r="K15" s="2"/>
      <c r="L15" s="2"/>
      <c r="M15" s="7"/>
      <c r="N15" s="2"/>
      <c r="O15" s="2"/>
      <c r="P15" s="2"/>
      <c r="Q15" s="2"/>
    </row>
    <row r="16" spans="1:17" ht="15" customHeight="1">
      <c r="B16" s="25"/>
      <c r="C16" s="12"/>
      <c r="D16" s="12"/>
      <c r="E16" s="12"/>
      <c r="F16" s="12"/>
      <c r="G16" s="12"/>
      <c r="H16" s="12"/>
      <c r="I16" s="12"/>
      <c r="J16" s="12"/>
      <c r="K16" s="12"/>
      <c r="L16" s="12"/>
      <c r="M16" s="21"/>
      <c r="N16" s="2"/>
      <c r="O16" s="2"/>
      <c r="P16" s="2"/>
      <c r="Q16" s="2"/>
    </row>
    <row r="17" spans="2:17" ht="15" customHeight="1">
      <c r="B17" s="23"/>
      <c r="C17" s="12"/>
      <c r="D17" s="2"/>
      <c r="E17" s="12"/>
      <c r="F17" s="12"/>
      <c r="G17" s="12"/>
      <c r="H17" s="12"/>
      <c r="I17" s="12"/>
      <c r="J17" s="12"/>
      <c r="K17" s="12"/>
      <c r="L17" s="12"/>
      <c r="M17" s="21"/>
      <c r="N17" s="2"/>
      <c r="O17" s="2"/>
      <c r="P17" s="2"/>
      <c r="Q17" s="2"/>
    </row>
    <row r="18" spans="2:17" ht="15" customHeight="1">
      <c r="B18" s="23"/>
      <c r="C18" s="2"/>
      <c r="D18" s="2"/>
      <c r="E18" s="2"/>
      <c r="F18" s="2"/>
      <c r="G18" s="2"/>
      <c r="H18" s="2"/>
      <c r="I18" s="2"/>
      <c r="J18" s="2"/>
      <c r="K18" s="2"/>
      <c r="L18" s="2"/>
      <c r="M18" s="7"/>
      <c r="N18" s="2"/>
      <c r="O18" s="2"/>
      <c r="P18" s="2"/>
      <c r="Q18" s="2"/>
    </row>
    <row r="19" spans="2:17" ht="15" customHeight="1">
      <c r="B19" s="23"/>
      <c r="C19" s="2"/>
      <c r="D19" s="2"/>
      <c r="E19" s="2"/>
      <c r="F19" s="2"/>
      <c r="G19" s="2"/>
      <c r="H19" s="2"/>
      <c r="I19" s="2"/>
      <c r="J19" s="2"/>
      <c r="K19" s="2"/>
      <c r="L19" s="2"/>
      <c r="M19" s="7"/>
      <c r="N19" s="2"/>
      <c r="O19" s="2"/>
      <c r="P19" s="2"/>
      <c r="Q19" s="2"/>
    </row>
    <row r="20" spans="2:17" ht="15" customHeight="1">
      <c r="B20" s="23"/>
      <c r="C20" s="2"/>
      <c r="D20" s="2"/>
      <c r="E20" s="2"/>
      <c r="F20" s="2"/>
      <c r="G20" s="2"/>
      <c r="H20" s="2"/>
      <c r="I20" s="2"/>
      <c r="J20" s="2"/>
      <c r="K20" s="2"/>
      <c r="L20" s="2"/>
      <c r="M20" s="7"/>
      <c r="N20" s="2"/>
      <c r="O20" s="2"/>
      <c r="P20" s="2"/>
      <c r="Q20" s="2"/>
    </row>
    <row r="21" spans="2:17" ht="15" customHeight="1">
      <c r="B21" s="23"/>
      <c r="C21" s="2"/>
      <c r="D21" s="2"/>
      <c r="E21" s="2"/>
      <c r="F21" s="2"/>
      <c r="G21" s="2"/>
      <c r="H21" s="2"/>
      <c r="I21" s="2"/>
      <c r="J21" s="2"/>
      <c r="K21" s="2"/>
      <c r="L21" s="2"/>
      <c r="M21" s="7"/>
      <c r="N21" s="2"/>
      <c r="O21" s="2"/>
      <c r="P21" s="2"/>
      <c r="Q21" s="2"/>
    </row>
    <row r="22" spans="2:17" ht="15" customHeight="1">
      <c r="B22" s="23"/>
      <c r="C22" s="2"/>
      <c r="D22" s="2"/>
      <c r="E22" s="2"/>
      <c r="F22" s="2"/>
      <c r="G22" s="2"/>
      <c r="H22" s="2"/>
      <c r="I22" s="2"/>
      <c r="J22" s="2"/>
      <c r="K22" s="2"/>
      <c r="L22" s="2"/>
      <c r="M22" s="7"/>
      <c r="N22" s="2"/>
      <c r="O22" s="2"/>
      <c r="P22" s="2"/>
      <c r="Q22" s="2"/>
    </row>
    <row r="23" spans="2:17" ht="15" customHeight="1">
      <c r="B23" s="23"/>
      <c r="C23" s="2"/>
      <c r="D23" s="2"/>
      <c r="E23" s="2"/>
      <c r="F23" s="2"/>
      <c r="G23" s="2"/>
      <c r="H23" s="2"/>
      <c r="I23" s="2"/>
      <c r="J23" s="2"/>
      <c r="K23" s="2"/>
      <c r="L23" s="2"/>
      <c r="M23" s="7"/>
      <c r="N23" s="2"/>
      <c r="O23" s="2"/>
      <c r="P23" s="2"/>
      <c r="Q23" s="2"/>
    </row>
    <row r="24" spans="2:17" ht="15" customHeight="1">
      <c r="B24" s="23"/>
      <c r="C24" s="2"/>
      <c r="D24" s="2"/>
      <c r="E24" s="2"/>
      <c r="F24" s="2"/>
      <c r="G24" s="2"/>
      <c r="H24" s="2"/>
      <c r="I24" s="2"/>
      <c r="J24" s="2"/>
      <c r="K24" s="2"/>
      <c r="L24" s="2"/>
      <c r="M24" s="7"/>
      <c r="N24" s="2"/>
      <c r="O24" s="2"/>
      <c r="P24" s="2"/>
      <c r="Q24" s="2"/>
    </row>
    <row r="25" spans="2:17" ht="15" customHeight="1">
      <c r="B25" s="23"/>
      <c r="C25" s="2"/>
      <c r="D25" s="2"/>
      <c r="E25" s="2"/>
      <c r="F25" s="2"/>
      <c r="G25" s="2"/>
      <c r="H25" s="2"/>
      <c r="I25" s="2"/>
      <c r="J25" s="2"/>
      <c r="K25" s="2"/>
      <c r="L25" s="2"/>
      <c r="M25" s="7"/>
      <c r="N25" s="2"/>
      <c r="O25" s="2"/>
      <c r="P25" s="2"/>
      <c r="Q25" s="2"/>
    </row>
    <row r="26" spans="2:17" ht="15" customHeight="1">
      <c r="B26" s="6"/>
      <c r="C26" s="2"/>
      <c r="D26" s="2"/>
      <c r="E26" s="2"/>
      <c r="F26" s="2"/>
      <c r="G26" s="2"/>
      <c r="H26" s="2"/>
      <c r="I26" s="2"/>
      <c r="J26" s="2"/>
      <c r="K26" s="2"/>
      <c r="L26" s="2"/>
      <c r="M26" s="7"/>
    </row>
    <row r="27" spans="2:17" ht="15" customHeight="1">
      <c r="B27" s="6"/>
      <c r="C27" s="2"/>
      <c r="D27" s="2"/>
      <c r="E27" s="2"/>
      <c r="F27" s="2"/>
      <c r="G27" s="2"/>
      <c r="H27" s="2"/>
      <c r="I27" s="2"/>
      <c r="J27" s="2"/>
      <c r="K27" s="2"/>
      <c r="L27" s="2"/>
      <c r="M27" s="7"/>
    </row>
    <row r="28" spans="2:17" ht="15" customHeight="1" thickBot="1">
      <c r="B28" s="14"/>
      <c r="C28" s="15"/>
      <c r="D28" s="15"/>
      <c r="E28" s="15"/>
      <c r="F28" s="15"/>
      <c r="G28" s="15"/>
      <c r="H28" s="15"/>
      <c r="I28" s="15"/>
      <c r="J28" s="15"/>
      <c r="K28" s="15"/>
      <c r="L28" s="15"/>
      <c r="M28" s="16"/>
    </row>
    <row r="29" spans="2:17" ht="15" customHeight="1"/>
    <row r="30" spans="2:17" ht="15" hidden="1" customHeight="1"/>
    <row r="31" spans="2:17" ht="15" hidden="1" customHeight="1"/>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00AF3D"/>
  </sheetPr>
  <dimension ref="A1:BO51"/>
  <sheetViews>
    <sheetView topLeftCell="A17" zoomScale="80" zoomScaleNormal="80" workbookViewId="0">
      <selection activeCell="J42" sqref="J42"/>
    </sheetView>
  </sheetViews>
  <sheetFormatPr defaultColWidth="0" defaultRowHeight="0" customHeight="1" zeroHeight="1"/>
  <cols>
    <col min="1" max="1" width="3.85546875" style="28" customWidth="1"/>
    <col min="2" max="2" width="2.42578125" style="28" customWidth="1"/>
    <col min="3" max="3" width="3.28515625" style="28" customWidth="1"/>
    <col min="4" max="4" width="7.28515625" style="28" customWidth="1"/>
    <col min="5" max="5" width="22.7109375" style="28" customWidth="1"/>
    <col min="6" max="6" width="17.7109375" style="28" customWidth="1"/>
    <col min="7" max="7" width="14.140625" style="28" customWidth="1"/>
    <col min="8" max="8" width="4.5703125" style="28" customWidth="1"/>
    <col min="9" max="9" width="18.85546875" style="28" customWidth="1"/>
    <col min="10" max="10" width="39" style="28" customWidth="1"/>
    <col min="11" max="11" width="9.85546875" style="28" customWidth="1"/>
    <col min="12" max="12" width="6.140625" style="28" hidden="1" customWidth="1"/>
    <col min="13" max="13" width="5.5703125" style="28" customWidth="1"/>
    <col min="14" max="14" width="3.7109375" style="28" customWidth="1"/>
    <col min="15" max="67" width="0" style="28" hidden="1" customWidth="1"/>
    <col min="68" max="16384" width="8.85546875" style="28" hidden="1"/>
  </cols>
  <sheetData>
    <row r="1" spans="1:17" ht="15" customHeight="1" thickBot="1">
      <c r="N1" s="29"/>
      <c r="O1" s="29"/>
      <c r="P1" s="29"/>
      <c r="Q1" s="29"/>
    </row>
    <row r="2" spans="1:17" ht="20.100000000000001" customHeight="1">
      <c r="A2" s="29"/>
      <c r="B2" s="1028" t="s">
        <v>187</v>
      </c>
      <c r="C2" s="1029"/>
      <c r="D2" s="1029"/>
      <c r="E2" s="1029"/>
      <c r="F2" s="1029"/>
      <c r="G2" s="1029"/>
      <c r="H2" s="1029"/>
      <c r="I2" s="1029"/>
      <c r="J2" s="1029"/>
      <c r="K2" s="1029"/>
      <c r="L2" s="1029"/>
      <c r="M2" s="1030"/>
      <c r="N2" s="29"/>
      <c r="O2" s="29"/>
      <c r="P2" s="29"/>
      <c r="Q2" s="29"/>
    </row>
    <row r="3" spans="1:17" ht="9.9499999999999993" customHeight="1">
      <c r="A3" s="29"/>
      <c r="B3" s="42"/>
      <c r="C3" s="43"/>
      <c r="D3" s="43"/>
      <c r="E3" s="43"/>
      <c r="F3" s="43"/>
      <c r="G3" s="43"/>
      <c r="H3" s="43"/>
      <c r="I3" s="43"/>
      <c r="J3" s="43"/>
      <c r="K3" s="43"/>
      <c r="L3" s="43"/>
      <c r="M3" s="44"/>
      <c r="N3" s="29"/>
      <c r="O3" s="29"/>
      <c r="P3" s="29"/>
      <c r="Q3" s="29"/>
    </row>
    <row r="4" spans="1:17" ht="15" customHeight="1">
      <c r="A4" s="29"/>
      <c r="B4" s="42"/>
      <c r="C4" s="69" t="s">
        <v>4</v>
      </c>
      <c r="D4" s="70"/>
      <c r="E4" s="70"/>
      <c r="F4" s="70"/>
      <c r="G4" s="70"/>
      <c r="H4" s="70"/>
      <c r="I4" s="70"/>
      <c r="J4" s="70"/>
      <c r="K4" s="71"/>
      <c r="L4" s="43"/>
      <c r="M4" s="44"/>
      <c r="N4" s="29"/>
      <c r="O4" s="29"/>
      <c r="P4" s="29"/>
      <c r="Q4" s="29"/>
    </row>
    <row r="5" spans="1:17" ht="15" customHeight="1">
      <c r="A5" s="29"/>
      <c r="B5" s="42"/>
      <c r="C5" s="142" t="s">
        <v>79</v>
      </c>
      <c r="D5" s="63" t="s">
        <v>711</v>
      </c>
      <c r="E5" s="66"/>
      <c r="F5" s="66"/>
      <c r="G5" s="66"/>
      <c r="H5" s="66"/>
      <c r="I5" s="66"/>
      <c r="J5" s="66"/>
      <c r="K5" s="180"/>
      <c r="L5" s="43"/>
      <c r="M5" s="44"/>
      <c r="N5" s="29"/>
      <c r="O5" s="29"/>
      <c r="P5" s="29"/>
      <c r="Q5" s="29"/>
    </row>
    <row r="6" spans="1:17" ht="15" customHeight="1">
      <c r="B6" s="30"/>
      <c r="C6" s="142" t="s">
        <v>79</v>
      </c>
      <c r="D6" s="63" t="s">
        <v>749</v>
      </c>
      <c r="E6" s="27"/>
      <c r="F6" s="27"/>
      <c r="G6" s="27"/>
      <c r="H6" s="27"/>
      <c r="I6" s="27"/>
      <c r="J6" s="27"/>
      <c r="K6" s="57"/>
      <c r="L6" s="29"/>
      <c r="M6" s="31"/>
      <c r="N6" s="29"/>
      <c r="O6" s="29"/>
      <c r="P6" s="29"/>
      <c r="Q6" s="29"/>
    </row>
    <row r="7" spans="1:17" ht="15" customHeight="1">
      <c r="B7" s="30"/>
      <c r="C7" s="142"/>
      <c r="D7" s="63"/>
      <c r="E7" s="27"/>
      <c r="F7" s="27"/>
      <c r="G7" s="27"/>
      <c r="H7" s="27"/>
      <c r="I7" s="27"/>
      <c r="J7" s="27"/>
      <c r="K7" s="57"/>
      <c r="L7" s="29"/>
      <c r="M7" s="31"/>
      <c r="N7" s="29"/>
      <c r="O7" s="29"/>
      <c r="P7" s="29"/>
      <c r="Q7" s="29"/>
    </row>
    <row r="8" spans="1:17" ht="15" customHeight="1">
      <c r="B8" s="32"/>
      <c r="C8" s="58" t="s">
        <v>11</v>
      </c>
      <c r="D8" s="29"/>
      <c r="E8" s="26"/>
      <c r="F8" s="26"/>
      <c r="G8" s="27"/>
      <c r="H8" s="27"/>
      <c r="I8" s="26"/>
      <c r="J8" s="26"/>
      <c r="K8" s="57"/>
      <c r="L8" s="29"/>
      <c r="M8" s="31"/>
      <c r="N8" s="29"/>
      <c r="O8" s="29"/>
      <c r="P8" s="29"/>
      <c r="Q8" s="29"/>
    </row>
    <row r="9" spans="1:17" ht="15" customHeight="1">
      <c r="B9" s="32"/>
      <c r="C9" s="152"/>
      <c r="D9" s="63" t="s">
        <v>588</v>
      </c>
      <c r="E9" s="29"/>
      <c r="F9" s="29"/>
      <c r="G9" s="27"/>
      <c r="H9" s="27"/>
      <c r="I9" s="29"/>
      <c r="J9" s="29"/>
      <c r="K9" s="57"/>
      <c r="L9" s="29"/>
      <c r="M9" s="31"/>
      <c r="N9" s="29"/>
      <c r="O9" s="29"/>
      <c r="P9" s="29"/>
      <c r="Q9" s="29"/>
    </row>
    <row r="10" spans="1:17" ht="15" customHeight="1">
      <c r="B10" s="32"/>
      <c r="C10" s="166"/>
      <c r="D10" s="63" t="s">
        <v>82</v>
      </c>
      <c r="E10" s="29"/>
      <c r="F10" s="29"/>
      <c r="G10" s="27"/>
      <c r="H10" s="27"/>
      <c r="I10" s="29"/>
      <c r="J10" s="29"/>
      <c r="K10" s="57"/>
      <c r="L10" s="29"/>
      <c r="M10" s="31"/>
      <c r="N10" s="29"/>
      <c r="O10" s="29"/>
      <c r="P10" s="29"/>
      <c r="Q10" s="29"/>
    </row>
    <row r="11" spans="1:17" ht="5.25" customHeight="1">
      <c r="B11" s="24"/>
      <c r="C11" s="68"/>
      <c r="D11" s="29"/>
      <c r="E11" s="97"/>
      <c r="F11" s="97"/>
      <c r="G11" s="97"/>
      <c r="H11" s="97"/>
      <c r="I11" s="97"/>
      <c r="J11" s="97"/>
      <c r="K11" s="181"/>
      <c r="L11" s="754"/>
      <c r="M11" s="20"/>
      <c r="N11" s="29"/>
      <c r="O11" s="29"/>
      <c r="P11" s="29"/>
      <c r="Q11" s="29"/>
    </row>
    <row r="12" spans="1:17" ht="15" customHeight="1">
      <c r="B12" s="24"/>
      <c r="C12" s="1038" t="s">
        <v>712</v>
      </c>
      <c r="D12" s="1026"/>
      <c r="E12" s="1026"/>
      <c r="F12" s="1026"/>
      <c r="G12" s="1026"/>
      <c r="H12" s="26"/>
      <c r="I12" s="1026" t="s">
        <v>40</v>
      </c>
      <c r="J12" s="1026"/>
      <c r="K12" s="1039"/>
      <c r="L12" s="754"/>
      <c r="M12" s="20"/>
      <c r="N12" s="29"/>
      <c r="O12" s="29"/>
      <c r="P12" s="29"/>
      <c r="Q12" s="29"/>
    </row>
    <row r="13" spans="1:17" ht="15" customHeight="1">
      <c r="B13" s="24"/>
      <c r="C13" s="142"/>
      <c r="D13" s="1041" t="s">
        <v>483</v>
      </c>
      <c r="E13" s="1041"/>
      <c r="F13" s="1041"/>
      <c r="G13" s="1041"/>
      <c r="H13" s="1012"/>
      <c r="I13" s="1044" t="s">
        <v>713</v>
      </c>
      <c r="J13" s="1044"/>
      <c r="K13" s="1045"/>
      <c r="L13" s="754"/>
      <c r="M13" s="20"/>
      <c r="N13" s="29"/>
      <c r="O13" s="29"/>
      <c r="P13" s="29"/>
      <c r="Q13" s="29"/>
    </row>
    <row r="14" spans="1:17" ht="15" customHeight="1">
      <c r="B14" s="24"/>
      <c r="C14" s="68"/>
      <c r="D14" s="881">
        <v>0</v>
      </c>
      <c r="E14" s="882" t="s">
        <v>485</v>
      </c>
      <c r="F14" s="79"/>
      <c r="G14" s="80"/>
      <c r="H14" s="740"/>
      <c r="I14" s="1042" t="s">
        <v>484</v>
      </c>
      <c r="J14" s="1042"/>
      <c r="K14" s="1043"/>
      <c r="L14" s="754"/>
      <c r="M14" s="20"/>
      <c r="N14" s="29"/>
      <c r="O14" s="29"/>
      <c r="P14" s="29"/>
      <c r="Q14" s="29"/>
    </row>
    <row r="15" spans="1:17" ht="15" customHeight="1">
      <c r="B15" s="24"/>
      <c r="C15" s="68"/>
      <c r="D15" s="881">
        <v>1</v>
      </c>
      <c r="E15" s="882" t="s">
        <v>486</v>
      </c>
      <c r="F15" s="79"/>
      <c r="G15" s="80"/>
      <c r="H15" s="740"/>
      <c r="I15" s="751"/>
      <c r="J15" s="751"/>
      <c r="K15" s="752"/>
      <c r="L15" s="754"/>
      <c r="M15" s="20"/>
      <c r="N15" s="29"/>
      <c r="O15" s="29"/>
      <c r="P15" s="29"/>
      <c r="Q15" s="29"/>
    </row>
    <row r="16" spans="1:17" ht="15" customHeight="1">
      <c r="B16" s="24"/>
      <c r="C16" s="179"/>
      <c r="D16" s="883">
        <v>2</v>
      </c>
      <c r="E16" s="884" t="s">
        <v>487</v>
      </c>
      <c r="F16" s="83"/>
      <c r="G16" s="84"/>
      <c r="H16" s="740"/>
      <c r="I16" s="218"/>
      <c r="J16" s="218"/>
      <c r="K16" s="219"/>
      <c r="L16" s="754"/>
      <c r="M16" s="20"/>
      <c r="N16" s="29"/>
      <c r="O16" s="29"/>
      <c r="P16" s="29"/>
      <c r="Q16" s="29"/>
    </row>
    <row r="17" spans="2:17" ht="15" customHeight="1">
      <c r="B17" s="24"/>
      <c r="C17" s="29"/>
      <c r="D17" s="82"/>
      <c r="E17" s="79"/>
      <c r="F17" s="79"/>
      <c r="G17" s="80"/>
      <c r="H17" s="740"/>
      <c r="I17" s="97"/>
      <c r="J17" s="97"/>
      <c r="K17" s="97"/>
      <c r="L17" s="754"/>
      <c r="M17" s="20"/>
      <c r="N17" s="29"/>
      <c r="O17" s="29"/>
      <c r="P17" s="29"/>
      <c r="Q17" s="29"/>
    </row>
    <row r="18" spans="2:17" ht="18" customHeight="1">
      <c r="B18" s="33"/>
      <c r="C18" s="1040" t="s">
        <v>395</v>
      </c>
      <c r="D18" s="1040"/>
      <c r="E18" s="1040"/>
      <c r="F18" s="878" t="s">
        <v>247</v>
      </c>
      <c r="G18" s="879" t="s">
        <v>100</v>
      </c>
      <c r="H18" s="394"/>
      <c r="I18" s="878" t="s">
        <v>106</v>
      </c>
      <c r="J18" s="878"/>
      <c r="K18" s="880" t="s">
        <v>100</v>
      </c>
      <c r="L18" s="29"/>
      <c r="M18" s="31"/>
      <c r="N18" s="29"/>
      <c r="O18" s="29"/>
      <c r="P18" s="29"/>
      <c r="Q18" s="29"/>
    </row>
    <row r="19" spans="2:17" ht="15" customHeight="1">
      <c r="B19" s="34"/>
      <c r="C19" s="374" t="s">
        <v>14</v>
      </c>
      <c r="D19" s="375"/>
      <c r="E19" s="375"/>
      <c r="F19" s="375" t="s">
        <v>212</v>
      </c>
      <c r="G19" s="559"/>
      <c r="H19" s="29"/>
      <c r="I19" s="374" t="s">
        <v>222</v>
      </c>
      <c r="J19" s="384" t="s">
        <v>102</v>
      </c>
      <c r="K19" s="385"/>
      <c r="L19" s="887" t="b">
        <v>0</v>
      </c>
      <c r="M19" s="885"/>
      <c r="N19" s="29"/>
      <c r="O19" s="29"/>
      <c r="P19" s="29"/>
      <c r="Q19" s="29"/>
    </row>
    <row r="20" spans="2:17" ht="15" customHeight="1">
      <c r="B20" s="30"/>
      <c r="C20" s="97"/>
      <c r="D20" s="136"/>
      <c r="E20" s="136"/>
      <c r="F20" s="97" t="s">
        <v>93</v>
      </c>
      <c r="G20" s="559"/>
      <c r="H20" s="29"/>
      <c r="I20" s="89"/>
      <c r="J20" s="167" t="s">
        <v>38</v>
      </c>
      <c r="K20" s="113"/>
      <c r="L20" s="888" t="b">
        <v>0</v>
      </c>
      <c r="M20" s="886"/>
      <c r="N20" s="29"/>
      <c r="O20" s="29"/>
      <c r="P20" s="29"/>
      <c r="Q20" s="29"/>
    </row>
    <row r="21" spans="2:17" ht="15" customHeight="1">
      <c r="B21" s="30"/>
      <c r="C21" s="47"/>
      <c r="D21" s="136"/>
      <c r="E21" s="136"/>
      <c r="F21" s="97" t="s">
        <v>90</v>
      </c>
      <c r="G21" s="559"/>
      <c r="H21" s="29"/>
      <c r="I21" s="89"/>
      <c r="J21" s="167" t="s">
        <v>103</v>
      </c>
      <c r="K21" s="113"/>
      <c r="L21" s="888" t="b">
        <v>0</v>
      </c>
      <c r="M21" s="886"/>
      <c r="N21" s="29"/>
      <c r="O21" s="29"/>
      <c r="P21" s="29"/>
      <c r="Q21" s="29"/>
    </row>
    <row r="22" spans="2:17" ht="15" customHeight="1">
      <c r="B22" s="30"/>
      <c r="C22" s="97"/>
      <c r="D22" s="136"/>
      <c r="E22" s="136"/>
      <c r="F22" s="97" t="s">
        <v>91</v>
      </c>
      <c r="G22" s="559"/>
      <c r="H22" s="29"/>
      <c r="I22" s="89"/>
      <c r="J22" s="167" t="s">
        <v>223</v>
      </c>
      <c r="K22" s="113"/>
      <c r="L22" s="888" t="b">
        <v>0</v>
      </c>
      <c r="M22" s="886"/>
      <c r="N22" s="29"/>
      <c r="O22" s="29"/>
      <c r="P22" s="29"/>
      <c r="Q22" s="29"/>
    </row>
    <row r="23" spans="2:17" ht="15" customHeight="1">
      <c r="B23" s="34"/>
      <c r="C23" s="97"/>
      <c r="D23" s="136"/>
      <c r="E23" s="136"/>
      <c r="F23" s="97" t="s">
        <v>92</v>
      </c>
      <c r="G23" s="170"/>
      <c r="H23" s="29"/>
      <c r="I23" s="89"/>
      <c r="J23" s="167" t="s">
        <v>224</v>
      </c>
      <c r="K23" s="113"/>
      <c r="L23" s="887" t="b">
        <v>0</v>
      </c>
      <c r="M23" s="885"/>
      <c r="N23" s="29"/>
      <c r="O23" s="29"/>
      <c r="P23" s="29"/>
      <c r="Q23" s="29"/>
    </row>
    <row r="24" spans="2:17" ht="15" customHeight="1">
      <c r="B24" s="34"/>
      <c r="C24" s="1035" t="s">
        <v>101</v>
      </c>
      <c r="D24" s="1035"/>
      <c r="E24" s="1035"/>
      <c r="F24" s="375" t="s">
        <v>212</v>
      </c>
      <c r="G24" s="559"/>
      <c r="H24" s="29"/>
      <c r="I24" s="89"/>
      <c r="J24" s="167" t="s">
        <v>225</v>
      </c>
      <c r="K24" s="113"/>
      <c r="L24" s="887" t="b">
        <v>0</v>
      </c>
      <c r="M24" s="885"/>
      <c r="N24" s="29"/>
      <c r="O24" s="29"/>
      <c r="P24" s="29"/>
      <c r="Q24" s="29"/>
    </row>
    <row r="25" spans="2:17" ht="15" customHeight="1">
      <c r="B25" s="30"/>
      <c r="C25" s="1037"/>
      <c r="D25" s="1037"/>
      <c r="E25" s="1037"/>
      <c r="F25" s="433" t="s">
        <v>93</v>
      </c>
      <c r="G25" s="559"/>
      <c r="H25" s="29"/>
      <c r="I25" s="374" t="s">
        <v>226</v>
      </c>
      <c r="J25" s="386" t="s">
        <v>227</v>
      </c>
      <c r="K25" s="383"/>
      <c r="L25" s="888" t="b">
        <v>0</v>
      </c>
      <c r="M25" s="886"/>
      <c r="N25" s="29"/>
      <c r="O25" s="29"/>
      <c r="P25" s="29"/>
      <c r="Q25" s="29"/>
    </row>
    <row r="26" spans="2:17" ht="15" customHeight="1">
      <c r="B26" s="30"/>
      <c r="C26" s="374" t="s">
        <v>43</v>
      </c>
      <c r="D26" s="378"/>
      <c r="E26" s="379"/>
      <c r="F26" s="375" t="s">
        <v>98</v>
      </c>
      <c r="G26" s="559"/>
      <c r="H26" s="29"/>
      <c r="I26" s="89"/>
      <c r="J26" s="167" t="s">
        <v>228</v>
      </c>
      <c r="K26" s="113"/>
      <c r="L26" s="888" t="b">
        <v>0</v>
      </c>
      <c r="M26" s="886"/>
      <c r="N26" s="29"/>
      <c r="O26" s="29"/>
      <c r="P26" s="29"/>
      <c r="Q26" s="29"/>
    </row>
    <row r="27" spans="2:17" ht="15" customHeight="1">
      <c r="B27" s="30"/>
      <c r="C27" s="380"/>
      <c r="D27" s="136"/>
      <c r="E27" s="376"/>
      <c r="F27" s="97" t="s">
        <v>94</v>
      </c>
      <c r="G27" s="170"/>
      <c r="H27" s="29"/>
      <c r="I27" s="89"/>
      <c r="J27" s="167" t="s">
        <v>229</v>
      </c>
      <c r="K27" s="113"/>
      <c r="L27" s="888" t="b">
        <v>0</v>
      </c>
      <c r="M27" s="886"/>
      <c r="N27" s="29"/>
      <c r="O27" s="29"/>
      <c r="P27" s="29"/>
      <c r="Q27" s="29"/>
    </row>
    <row r="28" spans="2:17" ht="15" customHeight="1">
      <c r="B28" s="30"/>
      <c r="C28" s="380"/>
      <c r="D28" s="136"/>
      <c r="E28" s="376"/>
      <c r="F28" s="97" t="s">
        <v>213</v>
      </c>
      <c r="G28" s="170"/>
      <c r="H28" s="29"/>
      <c r="I28" s="374" t="s">
        <v>230</v>
      </c>
      <c r="J28" s="384" t="s">
        <v>231</v>
      </c>
      <c r="K28" s="383"/>
      <c r="L28" s="888" t="b">
        <v>0</v>
      </c>
      <c r="M28" s="886"/>
      <c r="N28" s="29"/>
      <c r="O28" s="29"/>
      <c r="P28" s="29"/>
      <c r="Q28" s="29"/>
    </row>
    <row r="29" spans="2:17" ht="15" customHeight="1">
      <c r="B29" s="30"/>
      <c r="C29" s="89"/>
      <c r="D29" s="136"/>
      <c r="E29" s="376"/>
      <c r="F29" s="97" t="s">
        <v>214</v>
      </c>
      <c r="G29" s="170"/>
      <c r="H29" s="45"/>
      <c r="I29" s="89"/>
      <c r="J29" s="167" t="s">
        <v>232</v>
      </c>
      <c r="K29" s="113"/>
      <c r="L29" s="888" t="b">
        <v>0</v>
      </c>
      <c r="M29" s="886"/>
      <c r="N29" s="29"/>
      <c r="O29" s="29"/>
      <c r="P29" s="29"/>
      <c r="Q29" s="29"/>
    </row>
    <row r="30" spans="2:17" ht="15" customHeight="1">
      <c r="B30" s="30"/>
      <c r="C30" s="374" t="s">
        <v>412</v>
      </c>
      <c r="D30" s="375"/>
      <c r="E30" s="379"/>
      <c r="F30" s="375" t="s">
        <v>98</v>
      </c>
      <c r="G30" s="170"/>
      <c r="H30" s="45"/>
      <c r="I30" s="1035" t="s">
        <v>233</v>
      </c>
      <c r="J30" s="384" t="s">
        <v>234</v>
      </c>
      <c r="K30" s="383"/>
      <c r="L30" s="888" t="b">
        <v>0</v>
      </c>
      <c r="M30" s="886"/>
      <c r="N30" s="29"/>
      <c r="O30" s="29"/>
      <c r="P30" s="29"/>
      <c r="Q30" s="29"/>
    </row>
    <row r="31" spans="2:17" ht="15" customHeight="1">
      <c r="B31" s="30"/>
      <c r="C31" s="374" t="s">
        <v>287</v>
      </c>
      <c r="D31" s="375"/>
      <c r="E31" s="379"/>
      <c r="F31" s="432" t="s">
        <v>98</v>
      </c>
      <c r="G31" s="170"/>
      <c r="H31" s="45"/>
      <c r="I31" s="1037"/>
      <c r="J31" s="167" t="s">
        <v>235</v>
      </c>
      <c r="K31" s="113"/>
      <c r="L31" s="888" t="b">
        <v>0</v>
      </c>
      <c r="M31" s="886"/>
      <c r="N31" s="29"/>
      <c r="O31" s="29"/>
      <c r="P31" s="29"/>
      <c r="Q31" s="29"/>
    </row>
    <row r="32" spans="2:17" ht="15" customHeight="1">
      <c r="B32" s="30"/>
      <c r="C32" s="87"/>
      <c r="D32" s="117"/>
      <c r="E32" s="377"/>
      <c r="F32" s="433" t="s">
        <v>216</v>
      </c>
      <c r="G32" s="170"/>
      <c r="H32" s="45"/>
      <c r="I32" s="1035" t="s">
        <v>236</v>
      </c>
      <c r="J32" s="384" t="s">
        <v>237</v>
      </c>
      <c r="K32" s="383"/>
      <c r="L32" s="888" t="b">
        <v>0</v>
      </c>
      <c r="M32" s="886"/>
      <c r="N32" s="29"/>
      <c r="O32" s="29"/>
      <c r="P32" s="29"/>
      <c r="Q32" s="29"/>
    </row>
    <row r="33" spans="2:17" ht="15" customHeight="1">
      <c r="B33" s="30"/>
      <c r="C33" s="89" t="s">
        <v>288</v>
      </c>
      <c r="D33" s="97"/>
      <c r="E33" s="376"/>
      <c r="F33" s="46" t="s">
        <v>98</v>
      </c>
      <c r="G33" s="170"/>
      <c r="H33" s="45"/>
      <c r="I33" s="1036"/>
      <c r="J33" s="167" t="s">
        <v>39</v>
      </c>
      <c r="K33" s="113"/>
      <c r="L33" s="888" t="b">
        <v>0</v>
      </c>
      <c r="M33" s="886"/>
      <c r="N33" s="29"/>
      <c r="O33" s="29"/>
      <c r="P33" s="29"/>
      <c r="Q33" s="29"/>
    </row>
    <row r="34" spans="2:17" ht="15" customHeight="1">
      <c r="B34" s="30"/>
      <c r="C34" s="89"/>
      <c r="D34" s="97"/>
      <c r="E34" s="376"/>
      <c r="F34" s="46" t="s">
        <v>96</v>
      </c>
      <c r="G34" s="170"/>
      <c r="H34" s="45"/>
      <c r="I34" s="1036"/>
      <c r="J34" s="167" t="s">
        <v>238</v>
      </c>
      <c r="K34" s="113"/>
      <c r="L34" s="888" t="b">
        <v>0</v>
      </c>
      <c r="M34" s="886"/>
      <c r="N34" s="29"/>
      <c r="O34" s="29"/>
      <c r="P34" s="29"/>
      <c r="Q34" s="29"/>
    </row>
    <row r="35" spans="2:17" ht="15" customHeight="1">
      <c r="B35" s="30"/>
      <c r="C35" s="390" t="s">
        <v>215</v>
      </c>
      <c r="D35" s="391"/>
      <c r="E35" s="392"/>
      <c r="F35" s="406" t="s">
        <v>95</v>
      </c>
      <c r="G35" s="170"/>
      <c r="H35" s="45"/>
      <c r="I35" s="1036"/>
      <c r="J35" s="167" t="s">
        <v>239</v>
      </c>
      <c r="K35" s="113"/>
      <c r="L35" s="888" t="b">
        <v>0</v>
      </c>
      <c r="M35" s="886"/>
      <c r="N35" s="29"/>
      <c r="O35" s="29"/>
      <c r="P35" s="29"/>
      <c r="Q35" s="29"/>
    </row>
    <row r="36" spans="2:17" ht="15" customHeight="1">
      <c r="B36" s="30"/>
      <c r="C36" s="89" t="s">
        <v>97</v>
      </c>
      <c r="D36" s="136"/>
      <c r="E36" s="376"/>
      <c r="F36" s="46" t="s">
        <v>98</v>
      </c>
      <c r="G36" s="170"/>
      <c r="H36" s="45"/>
      <c r="I36" s="1036"/>
      <c r="J36" s="167" t="s">
        <v>240</v>
      </c>
      <c r="K36" s="113"/>
      <c r="L36" s="888" t="b">
        <v>0</v>
      </c>
      <c r="M36" s="886"/>
      <c r="N36" s="29"/>
      <c r="O36" s="29"/>
      <c r="P36" s="29"/>
      <c r="Q36" s="29"/>
    </row>
    <row r="37" spans="2:17" ht="15" customHeight="1">
      <c r="B37" s="30"/>
      <c r="C37" s="89"/>
      <c r="D37" s="136"/>
      <c r="E37" s="136"/>
      <c r="F37" s="381" t="s">
        <v>94</v>
      </c>
      <c r="G37" s="559"/>
      <c r="H37" s="45"/>
      <c r="I37" s="1036"/>
      <c r="J37" s="167" t="s">
        <v>241</v>
      </c>
      <c r="K37" s="113"/>
      <c r="L37" s="888" t="b">
        <v>0</v>
      </c>
      <c r="M37" s="886"/>
      <c r="N37" s="29"/>
      <c r="O37" s="29"/>
      <c r="P37" s="29"/>
      <c r="Q37" s="29"/>
    </row>
    <row r="38" spans="2:17" ht="15" customHeight="1">
      <c r="B38" s="30"/>
      <c r="C38" s="389"/>
      <c r="D38" s="389"/>
      <c r="E38" s="389"/>
      <c r="F38" s="388" t="s">
        <v>216</v>
      </c>
      <c r="G38" s="559"/>
      <c r="H38" s="45"/>
      <c r="I38" s="1037"/>
      <c r="J38" s="167" t="s">
        <v>242</v>
      </c>
      <c r="K38" s="113"/>
      <c r="L38" s="888" t="b">
        <v>0</v>
      </c>
      <c r="M38" s="886"/>
      <c r="N38" s="29"/>
      <c r="O38" s="29"/>
      <c r="P38" s="29"/>
      <c r="Q38" s="29"/>
    </row>
    <row r="39" spans="2:17" ht="15" customHeight="1">
      <c r="B39" s="30"/>
      <c r="C39" s="390" t="s">
        <v>217</v>
      </c>
      <c r="D39" s="391"/>
      <c r="E39" s="391"/>
      <c r="F39" s="393" t="s">
        <v>94</v>
      </c>
      <c r="G39" s="170"/>
      <c r="H39" s="45"/>
      <c r="I39" s="1032" t="s">
        <v>243</v>
      </c>
      <c r="J39" s="384" t="s">
        <v>244</v>
      </c>
      <c r="K39" s="383"/>
      <c r="L39" s="888" t="b">
        <v>0</v>
      </c>
      <c r="M39" s="886"/>
      <c r="N39" s="29"/>
      <c r="O39" s="29"/>
      <c r="P39" s="29"/>
      <c r="Q39" s="29"/>
    </row>
    <row r="40" spans="2:17" ht="15" customHeight="1">
      <c r="B40" s="30"/>
      <c r="C40" s="390" t="s">
        <v>99</v>
      </c>
      <c r="D40" s="391"/>
      <c r="E40" s="391"/>
      <c r="F40" s="393" t="s">
        <v>98</v>
      </c>
      <c r="G40" s="170"/>
      <c r="H40" s="45"/>
      <c r="I40" s="1033"/>
      <c r="J40" s="167" t="s">
        <v>104</v>
      </c>
      <c r="K40" s="113"/>
      <c r="L40" s="888" t="b">
        <v>0</v>
      </c>
      <c r="M40" s="886"/>
      <c r="N40" s="29"/>
      <c r="O40" s="29"/>
      <c r="P40" s="29"/>
      <c r="Q40" s="29"/>
    </row>
    <row r="41" spans="2:17" ht="15" customHeight="1">
      <c r="B41" s="33"/>
      <c r="C41" s="390" t="s">
        <v>218</v>
      </c>
      <c r="D41" s="393"/>
      <c r="E41" s="391"/>
      <c r="F41" s="393" t="s">
        <v>96</v>
      </c>
      <c r="G41" s="170"/>
      <c r="H41" s="29"/>
      <c r="I41" s="1033"/>
      <c r="J41" s="167" t="s">
        <v>245</v>
      </c>
      <c r="K41" s="113"/>
      <c r="L41" s="888" t="b">
        <v>0</v>
      </c>
      <c r="M41" s="886"/>
      <c r="N41" s="29"/>
    </row>
    <row r="42" spans="2:17" ht="15" customHeight="1">
      <c r="B42" s="33"/>
      <c r="C42" s="390" t="s">
        <v>260</v>
      </c>
      <c r="D42" s="393"/>
      <c r="E42" s="391"/>
      <c r="F42" s="393" t="s">
        <v>96</v>
      </c>
      <c r="G42" s="170"/>
      <c r="H42" s="29"/>
      <c r="I42" s="1033"/>
      <c r="J42" s="167" t="s">
        <v>246</v>
      </c>
      <c r="K42" s="113"/>
      <c r="L42" s="888" t="b">
        <v>0</v>
      </c>
      <c r="M42" s="886"/>
      <c r="N42" s="29"/>
    </row>
    <row r="43" spans="2:17" ht="15" customHeight="1">
      <c r="B43" s="33"/>
      <c r="C43" s="89" t="s">
        <v>219</v>
      </c>
      <c r="D43" s="136"/>
      <c r="E43" s="136"/>
      <c r="F43" s="381" t="s">
        <v>98</v>
      </c>
      <c r="G43" s="170"/>
      <c r="H43" s="29"/>
      <c r="I43" s="1033"/>
      <c r="J43" s="48" t="s">
        <v>289</v>
      </c>
      <c r="K43" s="113"/>
      <c r="L43" s="888" t="b">
        <v>1</v>
      </c>
      <c r="M43" s="886"/>
      <c r="N43" s="29"/>
    </row>
    <row r="44" spans="2:17" ht="15" customHeight="1">
      <c r="B44" s="33"/>
      <c r="C44" s="87"/>
      <c r="D44" s="388"/>
      <c r="E44" s="389"/>
      <c r="F44" s="388" t="s">
        <v>216</v>
      </c>
      <c r="G44" s="170"/>
      <c r="H44" s="29"/>
      <c r="I44" s="1033"/>
      <c r="J44" s="48" t="s">
        <v>290</v>
      </c>
      <c r="K44" s="113"/>
      <c r="L44" s="888" t="b">
        <v>0</v>
      </c>
      <c r="M44" s="886"/>
      <c r="N44" s="29"/>
    </row>
    <row r="45" spans="2:17" ht="15" customHeight="1">
      <c r="B45" s="33"/>
      <c r="C45" s="89" t="s">
        <v>220</v>
      </c>
      <c r="D45" s="381"/>
      <c r="E45" s="136"/>
      <c r="F45" s="136" t="s">
        <v>98</v>
      </c>
      <c r="G45" s="170"/>
      <c r="H45" s="29"/>
      <c r="I45" s="1034"/>
      <c r="J45" s="434" t="s">
        <v>105</v>
      </c>
      <c r="K45" s="299"/>
      <c r="L45" s="888" t="b">
        <v>0</v>
      </c>
      <c r="M45" s="886"/>
      <c r="N45" s="29"/>
    </row>
    <row r="46" spans="2:17" ht="15" customHeight="1">
      <c r="B46" s="33"/>
      <c r="C46" s="87"/>
      <c r="D46" s="388"/>
      <c r="E46" s="389"/>
      <c r="F46" s="388" t="s">
        <v>216</v>
      </c>
      <c r="G46" s="170"/>
      <c r="H46" s="29"/>
      <c r="I46" s="2"/>
      <c r="J46" s="2"/>
      <c r="K46" s="2"/>
      <c r="L46" s="889"/>
      <c r="M46" s="435"/>
      <c r="N46" s="29"/>
    </row>
    <row r="47" spans="2:17" ht="15" customHeight="1">
      <c r="B47" s="33"/>
      <c r="C47" s="87" t="s">
        <v>221</v>
      </c>
      <c r="D47" s="388"/>
      <c r="E47" s="389"/>
      <c r="F47" s="388" t="s">
        <v>216</v>
      </c>
      <c r="G47" s="170"/>
      <c r="H47" s="29"/>
      <c r="I47" s="2"/>
      <c r="J47" s="2"/>
      <c r="K47" s="2"/>
      <c r="L47" s="530"/>
      <c r="M47" s="436"/>
      <c r="N47" s="29"/>
    </row>
    <row r="48" spans="2:17" ht="15" customHeight="1" thickBot="1">
      <c r="B48" s="37"/>
      <c r="C48" s="382"/>
      <c r="D48" s="382"/>
      <c r="E48" s="382"/>
      <c r="F48" s="387"/>
      <c r="G48" s="15"/>
      <c r="H48" s="38"/>
      <c r="I48" s="38"/>
      <c r="J48" s="38"/>
      <c r="K48" s="38"/>
      <c r="L48" s="38"/>
      <c r="M48" s="39"/>
      <c r="N48" s="29"/>
    </row>
    <row r="49" spans="10:11" ht="15" hidden="1" customHeight="1">
      <c r="J49" s="1"/>
      <c r="K49" s="1"/>
    </row>
    <row r="50" spans="10:11" ht="15" hidden="1" customHeight="1"/>
    <row r="51" spans="10:11" ht="15" hidden="1" customHeight="1"/>
  </sheetData>
  <mergeCells count="11">
    <mergeCell ref="B2:M2"/>
    <mergeCell ref="I39:I45"/>
    <mergeCell ref="I32:I38"/>
    <mergeCell ref="I30:I31"/>
    <mergeCell ref="C24:E25"/>
    <mergeCell ref="C12:G12"/>
    <mergeCell ref="I12:K12"/>
    <mergeCell ref="C18:E18"/>
    <mergeCell ref="D13:H13"/>
    <mergeCell ref="I14:K14"/>
    <mergeCell ref="I13:K13"/>
  </mergeCells>
  <dataValidations count="2">
    <dataValidation type="list" allowBlank="1" showInputMessage="1" showErrorMessage="1" sqref="K37 H40">
      <formula1>n_xfacilities</formula1>
    </dataValidation>
    <dataValidation type="list" allowBlank="1" showInputMessage="1" showErrorMessage="1" sqref="G19:G47">
      <formula1>priorities_pol</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sheetPr>
    <tabColor rgb="FF00AF3D"/>
  </sheetPr>
  <dimension ref="A1:CJ194"/>
  <sheetViews>
    <sheetView topLeftCell="B1" zoomScale="60" zoomScaleNormal="60" workbookViewId="0">
      <selection activeCell="B2" sqref="B2:AL2"/>
    </sheetView>
  </sheetViews>
  <sheetFormatPr defaultColWidth="0" defaultRowHeight="0" customHeight="1" zeroHeight="1"/>
  <cols>
    <col min="1" max="1" width="3.85546875" style="28" customWidth="1"/>
    <col min="2" max="2" width="2.42578125" style="28" customWidth="1"/>
    <col min="3" max="3" width="3.140625" style="28" customWidth="1"/>
    <col min="4" max="4" width="32" style="28" customWidth="1"/>
    <col min="5" max="5" width="23.140625" style="28" customWidth="1"/>
    <col min="6" max="6" width="42.85546875" style="28" customWidth="1"/>
    <col min="7" max="7" width="3.42578125" style="28" bestFit="1" customWidth="1"/>
    <col min="8" max="8" width="37.42578125" style="28" customWidth="1"/>
    <col min="9" max="9" width="3.42578125" style="28" customWidth="1"/>
    <col min="10" max="11" width="2" style="566" hidden="1" customWidth="1"/>
    <col min="12" max="12" width="37.42578125" style="28" customWidth="1"/>
    <col min="13" max="13" width="3.42578125" style="28" customWidth="1"/>
    <col min="14" max="14" width="3.42578125" style="566" hidden="1" customWidth="1"/>
    <col min="15" max="16" width="2" style="535" hidden="1" customWidth="1"/>
    <col min="17" max="17" width="37.42578125" style="28" customWidth="1"/>
    <col min="18" max="18" width="5.140625" style="28" bestFit="1" customWidth="1"/>
    <col min="19" max="19" width="2" style="566" hidden="1" customWidth="1"/>
    <col min="20" max="20" width="2" style="535" hidden="1" customWidth="1"/>
    <col min="21" max="21" width="3.5703125" style="535" hidden="1" customWidth="1"/>
    <col min="22" max="22" width="37.42578125" style="28" customWidth="1"/>
    <col min="23" max="23" width="3.42578125" style="28" customWidth="1"/>
    <col min="24" max="24" width="2.5703125" style="566" hidden="1" customWidth="1"/>
    <col min="25" max="26" width="2" style="535" hidden="1" customWidth="1"/>
    <col min="27" max="27" width="37.42578125" style="28" customWidth="1"/>
    <col min="28" max="28" width="3.42578125" style="28" customWidth="1"/>
    <col min="29" max="29" width="2" style="566" hidden="1" customWidth="1"/>
    <col min="30" max="31" width="2" style="535" hidden="1" customWidth="1"/>
    <col min="32" max="32" width="37.42578125" style="28" customWidth="1"/>
    <col min="33" max="33" width="4.140625" style="28" customWidth="1"/>
    <col min="34" max="34" width="2" style="566" hidden="1" customWidth="1"/>
    <col min="35" max="36" width="2" style="535" hidden="1" customWidth="1"/>
    <col min="37" max="37" width="5.85546875" style="535" hidden="1" customWidth="1"/>
    <col min="38" max="38" width="2" style="28" customWidth="1"/>
    <col min="39" max="39" width="3.7109375" style="28" customWidth="1"/>
    <col min="40" max="88" width="0" style="28" hidden="1" customWidth="1"/>
    <col min="89" max="16384" width="8.85546875" style="28" hidden="1"/>
  </cols>
  <sheetData>
    <row r="1" spans="1:42" ht="15" customHeight="1" thickBot="1">
      <c r="AM1" s="29"/>
      <c r="AN1" s="29"/>
      <c r="AO1" s="29"/>
      <c r="AP1" s="29"/>
    </row>
    <row r="2" spans="1:42" ht="24.95" customHeight="1" thickBot="1">
      <c r="A2" s="29"/>
      <c r="B2" s="1074" t="s">
        <v>188</v>
      </c>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6"/>
      <c r="AM2" s="29"/>
      <c r="AN2" s="29"/>
      <c r="AO2" s="29"/>
      <c r="AP2" s="29"/>
    </row>
    <row r="3" spans="1:42" ht="9.9499999999999993" customHeight="1">
      <c r="A3" s="29"/>
      <c r="B3" s="42"/>
      <c r="C3" s="43"/>
      <c r="D3" s="43"/>
      <c r="E3" s="43"/>
      <c r="F3" s="43"/>
      <c r="G3" s="43"/>
      <c r="H3" s="43"/>
      <c r="I3" s="43"/>
      <c r="J3" s="567"/>
      <c r="K3" s="567"/>
      <c r="L3" s="43"/>
      <c r="M3" s="43"/>
      <c r="N3" s="567"/>
      <c r="O3" s="536"/>
      <c r="P3" s="536"/>
      <c r="Q3" s="43"/>
      <c r="R3" s="43"/>
      <c r="S3" s="567"/>
      <c r="T3" s="536"/>
      <c r="U3" s="536"/>
      <c r="V3" s="43"/>
      <c r="W3" s="43"/>
      <c r="X3" s="567"/>
      <c r="Y3" s="536"/>
      <c r="Z3" s="536"/>
      <c r="AA3" s="43"/>
      <c r="AB3" s="43"/>
      <c r="AC3" s="567"/>
      <c r="AD3" s="536"/>
      <c r="AE3" s="536"/>
      <c r="AF3" s="43"/>
      <c r="AG3" s="43"/>
      <c r="AH3" s="567"/>
      <c r="AI3" s="536"/>
      <c r="AJ3" s="536"/>
      <c r="AK3" s="536"/>
      <c r="AL3" s="44"/>
      <c r="AM3" s="29"/>
      <c r="AN3" s="29"/>
      <c r="AO3" s="29"/>
      <c r="AP3" s="29"/>
    </row>
    <row r="4" spans="1:42" ht="15" customHeight="1">
      <c r="A4" s="29"/>
      <c r="B4" s="42"/>
      <c r="C4" s="1078" t="s">
        <v>4</v>
      </c>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80"/>
      <c r="AK4" s="536"/>
      <c r="AL4" s="44"/>
      <c r="AM4" s="29"/>
      <c r="AN4" s="29"/>
      <c r="AO4" s="29"/>
      <c r="AP4" s="29"/>
    </row>
    <row r="5" spans="1:42" ht="15" customHeight="1">
      <c r="B5" s="30"/>
      <c r="C5" s="142" t="s">
        <v>79</v>
      </c>
      <c r="D5" s="63" t="s">
        <v>480</v>
      </c>
      <c r="E5" s="27"/>
      <c r="F5" s="27"/>
      <c r="G5" s="27"/>
      <c r="H5" s="27"/>
      <c r="I5" s="27"/>
      <c r="J5" s="568"/>
      <c r="K5" s="568"/>
      <c r="L5" s="27"/>
      <c r="M5" s="27"/>
      <c r="N5" s="568"/>
      <c r="O5" s="537"/>
      <c r="P5" s="537"/>
      <c r="Q5" s="27"/>
      <c r="R5" s="27"/>
      <c r="S5" s="568"/>
      <c r="T5" s="537"/>
      <c r="U5" s="537"/>
      <c r="V5" s="27"/>
      <c r="W5" s="27"/>
      <c r="X5" s="568"/>
      <c r="Y5" s="537"/>
      <c r="Z5" s="537"/>
      <c r="AA5" s="27"/>
      <c r="AB5" s="27"/>
      <c r="AC5" s="568"/>
      <c r="AD5" s="537"/>
      <c r="AE5" s="537"/>
      <c r="AF5" s="27"/>
      <c r="AG5" s="27"/>
      <c r="AH5" s="568"/>
      <c r="AI5" s="537"/>
      <c r="AJ5" s="909"/>
      <c r="AK5" s="537"/>
      <c r="AL5" s="31"/>
      <c r="AM5" s="29"/>
      <c r="AN5" s="29"/>
      <c r="AO5" s="29"/>
      <c r="AP5" s="29"/>
    </row>
    <row r="6" spans="1:42" ht="16.5" customHeight="1">
      <c r="B6" s="30"/>
      <c r="C6" s="142" t="s">
        <v>79</v>
      </c>
      <c r="D6" s="1012" t="s">
        <v>750</v>
      </c>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740"/>
      <c r="AH6" s="80"/>
      <c r="AI6" s="550"/>
      <c r="AJ6" s="910"/>
      <c r="AK6" s="550"/>
      <c r="AL6" s="31"/>
      <c r="AM6" s="29"/>
      <c r="AN6" s="29"/>
      <c r="AO6" s="29"/>
      <c r="AP6" s="29"/>
    </row>
    <row r="7" spans="1:42" ht="15" customHeight="1">
      <c r="B7" s="30"/>
      <c r="C7" s="142" t="s">
        <v>79</v>
      </c>
      <c r="D7" s="1005" t="s">
        <v>751</v>
      </c>
      <c r="E7" s="1005"/>
      <c r="F7" s="1005"/>
      <c r="G7" s="1005"/>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77"/>
      <c r="AK7" s="551"/>
      <c r="AL7" s="31"/>
      <c r="AM7" s="29"/>
      <c r="AN7" s="29"/>
      <c r="AO7" s="29"/>
      <c r="AP7" s="29"/>
    </row>
    <row r="8" spans="1:42" ht="15" customHeight="1">
      <c r="B8" s="30"/>
      <c r="C8" s="142" t="s">
        <v>79</v>
      </c>
      <c r="D8" s="1005" t="s">
        <v>724</v>
      </c>
      <c r="E8" s="1005"/>
      <c r="F8" s="100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583"/>
      <c r="AI8" s="552"/>
      <c r="AJ8" s="911"/>
      <c r="AK8" s="552"/>
      <c r="AL8" s="31"/>
      <c r="AM8" s="29"/>
      <c r="AN8" s="29"/>
      <c r="AO8" s="29"/>
      <c r="AP8" s="29"/>
    </row>
    <row r="9" spans="1:42" ht="15" customHeight="1">
      <c r="B9" s="30"/>
      <c r="C9" s="142"/>
      <c r="D9" s="745"/>
      <c r="E9" s="745"/>
      <c r="F9" s="745"/>
      <c r="G9" s="755"/>
      <c r="H9" s="1081" t="s">
        <v>730</v>
      </c>
      <c r="I9" s="1081"/>
      <c r="J9" s="1081"/>
      <c r="K9" s="755"/>
      <c r="L9" s="1082" t="s">
        <v>731</v>
      </c>
      <c r="M9" s="1082"/>
      <c r="N9" s="1082"/>
      <c r="O9" s="755"/>
      <c r="P9" s="755"/>
      <c r="Q9" s="1081" t="s">
        <v>736</v>
      </c>
      <c r="R9" s="1081"/>
      <c r="S9" s="1081"/>
      <c r="T9" s="1081"/>
      <c r="U9" s="1081"/>
      <c r="V9" s="755"/>
      <c r="W9" s="755"/>
      <c r="X9" s="755"/>
      <c r="Y9" s="755"/>
      <c r="Z9" s="755"/>
      <c r="AA9" s="755"/>
      <c r="AB9" s="755"/>
      <c r="AC9" s="755"/>
      <c r="AD9" s="755"/>
      <c r="AE9" s="755"/>
      <c r="AF9" s="755"/>
      <c r="AG9" s="755"/>
      <c r="AH9" s="583"/>
      <c r="AI9" s="552"/>
      <c r="AJ9" s="911"/>
      <c r="AK9" s="552"/>
      <c r="AL9" s="31"/>
      <c r="AM9" s="29"/>
      <c r="AN9" s="29"/>
      <c r="AO9" s="29"/>
      <c r="AP9" s="29"/>
    </row>
    <row r="10" spans="1:42" s="602" customFormat="1" ht="15" customHeight="1">
      <c r="B10" s="902"/>
      <c r="C10" s="903"/>
      <c r="D10" s="904"/>
      <c r="E10" s="907"/>
      <c r="F10" s="904"/>
      <c r="G10" s="904"/>
      <c r="H10" s="904" t="s">
        <v>732</v>
      </c>
      <c r="I10" s="904">
        <f>standard_ped</f>
        <v>4</v>
      </c>
      <c r="K10" s="904"/>
      <c r="L10" s="904" t="s">
        <v>726</v>
      </c>
      <c r="M10" s="904">
        <f>standard_carparkstop</f>
        <v>2.5</v>
      </c>
      <c r="N10" s="904"/>
      <c r="O10" s="904"/>
      <c r="P10" s="907"/>
      <c r="Q10" s="882" t="s">
        <v>737</v>
      </c>
      <c r="R10" s="904">
        <f>standard_pm10</f>
        <v>50</v>
      </c>
      <c r="S10" s="907"/>
      <c r="T10" s="904"/>
      <c r="V10" s="907"/>
      <c r="W10" s="907"/>
      <c r="X10" s="904"/>
      <c r="Y10" s="904"/>
      <c r="Z10" s="904"/>
      <c r="AA10" s="904"/>
      <c r="AB10" s="904"/>
      <c r="AC10" s="904"/>
      <c r="AD10" s="904"/>
      <c r="AE10" s="904"/>
      <c r="AF10" s="904"/>
      <c r="AG10" s="904"/>
      <c r="AH10" s="904"/>
      <c r="AI10" s="905"/>
      <c r="AJ10" s="912"/>
      <c r="AK10" s="905"/>
      <c r="AL10" s="906"/>
      <c r="AM10" s="907"/>
      <c r="AN10" s="907"/>
      <c r="AO10" s="907"/>
      <c r="AP10" s="907"/>
    </row>
    <row r="11" spans="1:42" s="602" customFormat="1" ht="15" customHeight="1">
      <c r="B11" s="902"/>
      <c r="C11" s="903"/>
      <c r="D11" s="904"/>
      <c r="E11" s="907"/>
      <c r="F11" s="904"/>
      <c r="G11" s="904"/>
      <c r="H11" s="904" t="s">
        <v>733</v>
      </c>
      <c r="I11" s="904">
        <f>standard_cycle</f>
        <v>4</v>
      </c>
      <c r="K11" s="904"/>
      <c r="L11" s="904" t="s">
        <v>727</v>
      </c>
      <c r="M11" s="904">
        <f>standard_busstop</f>
        <v>2.5</v>
      </c>
      <c r="N11" s="904"/>
      <c r="O11" s="904"/>
      <c r="P11" s="907"/>
      <c r="Q11" s="882" t="s">
        <v>738</v>
      </c>
      <c r="R11" s="904">
        <f>standard_pm2</f>
        <v>25</v>
      </c>
      <c r="S11" s="907"/>
      <c r="T11" s="904"/>
      <c r="V11" s="907"/>
      <c r="W11" s="907"/>
      <c r="X11" s="904"/>
      <c r="Y11" s="904"/>
      <c r="Z11" s="904"/>
      <c r="AA11" s="904"/>
      <c r="AB11" s="904"/>
      <c r="AC11" s="904"/>
      <c r="AD11" s="904"/>
      <c r="AE11" s="904"/>
      <c r="AF11" s="904"/>
      <c r="AG11" s="904"/>
      <c r="AH11" s="904"/>
      <c r="AI11" s="905"/>
      <c r="AJ11" s="912"/>
      <c r="AK11" s="905"/>
      <c r="AL11" s="906"/>
      <c r="AM11" s="907"/>
      <c r="AN11" s="907"/>
      <c r="AO11" s="907"/>
      <c r="AP11" s="907"/>
    </row>
    <row r="12" spans="1:42" s="602" customFormat="1" ht="15" customHeight="1">
      <c r="B12" s="902"/>
      <c r="C12" s="903"/>
      <c r="D12" s="904"/>
      <c r="E12" s="907"/>
      <c r="F12" s="904"/>
      <c r="G12" s="904"/>
      <c r="H12" s="904" t="s">
        <v>734</v>
      </c>
      <c r="I12" s="904">
        <f>standard_car</f>
        <v>6</v>
      </c>
      <c r="K12" s="904"/>
      <c r="L12" s="904" t="s">
        <v>728</v>
      </c>
      <c r="M12" s="904">
        <f>standard_load</f>
        <v>2.5</v>
      </c>
      <c r="N12" s="904"/>
      <c r="O12" s="904"/>
      <c r="P12" s="907"/>
      <c r="Q12" s="882" t="s">
        <v>739</v>
      </c>
      <c r="R12" s="904">
        <f>standard_no2</f>
        <v>40</v>
      </c>
      <c r="S12" s="907"/>
      <c r="T12" s="904"/>
      <c r="V12" s="907"/>
      <c r="W12" s="907"/>
      <c r="X12" s="904"/>
      <c r="Y12" s="904"/>
      <c r="Z12" s="904"/>
      <c r="AA12" s="904"/>
      <c r="AB12" s="904"/>
      <c r="AC12" s="904"/>
      <c r="AD12" s="904"/>
      <c r="AE12" s="904"/>
      <c r="AF12" s="904"/>
      <c r="AG12" s="904"/>
      <c r="AH12" s="904"/>
      <c r="AI12" s="905"/>
      <c r="AJ12" s="912"/>
      <c r="AK12" s="905"/>
      <c r="AL12" s="906"/>
      <c r="AM12" s="907"/>
      <c r="AN12" s="907"/>
      <c r="AO12" s="907"/>
      <c r="AP12" s="907"/>
    </row>
    <row r="13" spans="1:42" s="602" customFormat="1" ht="15" customHeight="1">
      <c r="B13" s="902"/>
      <c r="C13" s="903"/>
      <c r="D13" s="904"/>
      <c r="E13" s="907"/>
      <c r="F13" s="904"/>
      <c r="G13" s="904"/>
      <c r="H13" s="904" t="s">
        <v>735</v>
      </c>
      <c r="I13" s="904">
        <f>standard_bus</f>
        <v>6</v>
      </c>
      <c r="K13" s="904"/>
      <c r="L13" s="904" t="s">
        <v>729</v>
      </c>
      <c r="M13" s="904">
        <f>standard_place</f>
        <v>2</v>
      </c>
      <c r="N13" s="904"/>
      <c r="O13" s="904"/>
      <c r="P13" s="907"/>
      <c r="Q13" s="904" t="s">
        <v>725</v>
      </c>
      <c r="R13" s="904">
        <f>standard_noise</f>
        <v>55</v>
      </c>
      <c r="S13" s="907"/>
      <c r="T13" s="904"/>
      <c r="V13" s="907"/>
      <c r="W13" s="907"/>
      <c r="X13" s="904"/>
      <c r="Y13" s="904"/>
      <c r="Z13" s="904"/>
      <c r="AA13" s="904"/>
      <c r="AB13" s="904"/>
      <c r="AC13" s="904"/>
      <c r="AD13" s="904"/>
      <c r="AE13" s="904"/>
      <c r="AF13" s="904"/>
      <c r="AG13" s="904"/>
      <c r="AH13" s="904"/>
      <c r="AI13" s="905"/>
      <c r="AJ13" s="912"/>
      <c r="AK13" s="905"/>
      <c r="AL13" s="906"/>
      <c r="AM13" s="907"/>
      <c r="AN13" s="907"/>
      <c r="AO13" s="907"/>
      <c r="AP13" s="907"/>
    </row>
    <row r="14" spans="1:42" ht="15" customHeight="1">
      <c r="B14" s="32"/>
      <c r="C14" s="58" t="s">
        <v>11</v>
      </c>
      <c r="D14" s="29"/>
      <c r="E14" s="26"/>
      <c r="F14" s="27"/>
      <c r="G14" s="27"/>
      <c r="H14" s="27"/>
      <c r="I14" s="27"/>
      <c r="J14" s="568"/>
      <c r="K14" s="568"/>
      <c r="L14" s="27"/>
      <c r="M14" s="27"/>
      <c r="N14" s="568"/>
      <c r="O14" s="537"/>
      <c r="P14" s="537"/>
      <c r="Q14" s="27"/>
      <c r="R14" s="27"/>
      <c r="S14" s="568"/>
      <c r="T14" s="537"/>
      <c r="U14" s="537"/>
      <c r="V14" s="27"/>
      <c r="W14" s="27"/>
      <c r="X14" s="568"/>
      <c r="Y14" s="537"/>
      <c r="Z14" s="537"/>
      <c r="AA14" s="27"/>
      <c r="AB14" s="27"/>
      <c r="AC14" s="568"/>
      <c r="AD14" s="537"/>
      <c r="AE14" s="537"/>
      <c r="AF14" s="27"/>
      <c r="AG14" s="27"/>
      <c r="AH14" s="568"/>
      <c r="AI14" s="537"/>
      <c r="AJ14" s="909"/>
      <c r="AK14" s="537"/>
      <c r="AL14" s="31"/>
      <c r="AM14" s="29"/>
      <c r="AN14" s="29"/>
      <c r="AO14" s="29"/>
      <c r="AP14" s="29"/>
    </row>
    <row r="15" spans="1:42" ht="15" customHeight="1">
      <c r="B15" s="32"/>
      <c r="C15" s="931"/>
      <c r="D15" s="63" t="s">
        <v>37</v>
      </c>
      <c r="E15" s="29"/>
      <c r="F15" s="27"/>
      <c r="G15" s="27"/>
      <c r="H15" s="27"/>
      <c r="I15" s="27"/>
      <c r="J15" s="568"/>
      <c r="K15" s="568"/>
      <c r="L15" s="27"/>
      <c r="M15" s="27"/>
      <c r="N15" s="568"/>
      <c r="O15" s="537"/>
      <c r="P15" s="537"/>
      <c r="Q15" s="27"/>
      <c r="R15" s="27"/>
      <c r="S15" s="568"/>
      <c r="T15" s="537"/>
      <c r="U15" s="537"/>
      <c r="V15" s="27"/>
      <c r="W15" s="27"/>
      <c r="X15" s="568"/>
      <c r="Y15" s="537"/>
      <c r="Z15" s="537"/>
      <c r="AA15" s="27"/>
      <c r="AB15" s="27"/>
      <c r="AC15" s="568"/>
      <c r="AD15" s="537"/>
      <c r="AE15" s="537"/>
      <c r="AF15" s="27"/>
      <c r="AG15" s="27"/>
      <c r="AH15" s="568"/>
      <c r="AI15" s="537"/>
      <c r="AJ15" s="909"/>
      <c r="AK15" s="537"/>
      <c r="AL15" s="31"/>
      <c r="AM15" s="29"/>
      <c r="AN15" s="29"/>
      <c r="AO15" s="29"/>
      <c r="AP15" s="29"/>
    </row>
    <row r="16" spans="1:42" ht="15" customHeight="1">
      <c r="B16" s="32"/>
      <c r="C16" s="115"/>
      <c r="D16" s="63" t="s">
        <v>481</v>
      </c>
      <c r="E16" s="29"/>
      <c r="F16" s="27"/>
      <c r="G16" s="27"/>
      <c r="H16" s="27"/>
      <c r="I16" s="27"/>
      <c r="J16" s="568"/>
      <c r="K16" s="568"/>
      <c r="L16" s="27"/>
      <c r="M16" s="27"/>
      <c r="N16" s="568"/>
      <c r="O16" s="537"/>
      <c r="P16" s="537"/>
      <c r="Q16" s="27"/>
      <c r="R16" s="27"/>
      <c r="S16" s="568"/>
      <c r="T16" s="537"/>
      <c r="U16" s="537"/>
      <c r="V16" s="27"/>
      <c r="W16" s="27"/>
      <c r="X16" s="568"/>
      <c r="Y16" s="537"/>
      <c r="Z16" s="537"/>
      <c r="AA16" s="27"/>
      <c r="AB16" s="27"/>
      <c r="AC16" s="568"/>
      <c r="AD16" s="537"/>
      <c r="AE16" s="537"/>
      <c r="AF16" s="27"/>
      <c r="AG16" s="27"/>
      <c r="AH16" s="568"/>
      <c r="AI16" s="537"/>
      <c r="AJ16" s="909"/>
      <c r="AK16" s="537"/>
      <c r="AL16" s="31"/>
      <c r="AM16" s="29"/>
      <c r="AN16" s="29"/>
      <c r="AO16" s="29"/>
      <c r="AP16" s="29"/>
    </row>
    <row r="17" spans="2:42" ht="15" customHeight="1">
      <c r="B17" s="32"/>
      <c r="C17" s="78"/>
      <c r="D17" s="63" t="s">
        <v>482</v>
      </c>
      <c r="E17" s="29"/>
      <c r="F17" s="27"/>
      <c r="G17" s="27"/>
      <c r="H17" s="27"/>
      <c r="I17" s="27"/>
      <c r="J17" s="568"/>
      <c r="K17" s="568"/>
      <c r="L17" s="27"/>
      <c r="M17" s="27"/>
      <c r="N17" s="568"/>
      <c r="O17" s="537"/>
      <c r="P17" s="537"/>
      <c r="Q17" s="27"/>
      <c r="R17" s="27"/>
      <c r="S17" s="568"/>
      <c r="T17" s="537"/>
      <c r="U17" s="537"/>
      <c r="V17" s="27"/>
      <c r="W17" s="27"/>
      <c r="X17" s="568"/>
      <c r="Y17" s="537"/>
      <c r="Z17" s="537"/>
      <c r="AA17" s="27"/>
      <c r="AB17" s="27"/>
      <c r="AC17" s="568"/>
      <c r="AD17" s="537"/>
      <c r="AE17" s="537"/>
      <c r="AF17" s="27"/>
      <c r="AG17" s="27"/>
      <c r="AH17" s="568"/>
      <c r="AI17" s="537"/>
      <c r="AJ17" s="909"/>
      <c r="AK17" s="537"/>
      <c r="AL17" s="31"/>
      <c r="AM17" s="29"/>
      <c r="AN17" s="29"/>
      <c r="AO17" s="29"/>
      <c r="AP17" s="29"/>
    </row>
    <row r="18" spans="2:42" ht="15" customHeight="1">
      <c r="B18" s="32"/>
      <c r="C18" s="734"/>
      <c r="D18" s="63" t="s">
        <v>569</v>
      </c>
      <c r="E18" s="29"/>
      <c r="F18" s="27"/>
      <c r="G18" s="27"/>
      <c r="H18" s="27"/>
      <c r="I18" s="27"/>
      <c r="J18" s="568"/>
      <c r="K18" s="568"/>
      <c r="L18" s="27"/>
      <c r="M18" s="27"/>
      <c r="N18" s="568"/>
      <c r="O18" s="537"/>
      <c r="P18" s="537"/>
      <c r="Q18" s="27"/>
      <c r="R18" s="27"/>
      <c r="S18" s="568"/>
      <c r="T18" s="537"/>
      <c r="U18" s="537"/>
      <c r="V18" s="27"/>
      <c r="W18" s="27"/>
      <c r="X18" s="568"/>
      <c r="Y18" s="537"/>
      <c r="Z18" s="537"/>
      <c r="AA18" s="27"/>
      <c r="AB18" s="27"/>
      <c r="AC18" s="568"/>
      <c r="AD18" s="537"/>
      <c r="AE18" s="537"/>
      <c r="AF18" s="27"/>
      <c r="AG18" s="27"/>
      <c r="AH18" s="568"/>
      <c r="AI18" s="537"/>
      <c r="AJ18" s="909"/>
      <c r="AK18" s="537"/>
      <c r="AL18" s="31"/>
      <c r="AM18" s="29"/>
      <c r="AN18" s="29"/>
      <c r="AO18" s="29"/>
      <c r="AP18" s="29"/>
    </row>
    <row r="19" spans="2:42" ht="15" customHeight="1">
      <c r="B19" s="32"/>
      <c r="C19" s="184" t="s">
        <v>33</v>
      </c>
      <c r="D19" s="63" t="s">
        <v>69</v>
      </c>
      <c r="E19" s="29"/>
      <c r="F19" s="27"/>
      <c r="G19" s="27"/>
      <c r="H19" s="27"/>
      <c r="I19" s="27"/>
      <c r="J19" s="568"/>
      <c r="K19" s="568"/>
      <c r="L19" s="27"/>
      <c r="M19" s="27"/>
      <c r="N19" s="568"/>
      <c r="O19" s="537"/>
      <c r="P19" s="537"/>
      <c r="Q19" s="27"/>
      <c r="R19" s="27"/>
      <c r="S19" s="568"/>
      <c r="T19" s="537"/>
      <c r="U19" s="537"/>
      <c r="V19" s="27"/>
      <c r="W19" s="27"/>
      <c r="X19" s="568"/>
      <c r="Y19" s="537"/>
      <c r="Z19" s="537"/>
      <c r="AA19" s="27"/>
      <c r="AB19" s="27"/>
      <c r="AC19" s="568"/>
      <c r="AD19" s="537"/>
      <c r="AE19" s="537"/>
      <c r="AF19" s="27"/>
      <c r="AG19" s="27"/>
      <c r="AH19" s="568"/>
      <c r="AI19" s="537"/>
      <c r="AJ19" s="909"/>
      <c r="AK19" s="537"/>
      <c r="AL19" s="31"/>
      <c r="AM19" s="29"/>
      <c r="AN19" s="29"/>
      <c r="AO19" s="29"/>
      <c r="AP19" s="29"/>
    </row>
    <row r="20" spans="2:42" ht="15" customHeight="1">
      <c r="B20" s="32"/>
      <c r="C20" s="185" t="s">
        <v>33</v>
      </c>
      <c r="D20" s="64" t="s">
        <v>70</v>
      </c>
      <c r="E20" s="59"/>
      <c r="F20" s="60"/>
      <c r="G20" s="60"/>
      <c r="H20" s="60"/>
      <c r="I20" s="60"/>
      <c r="J20" s="569"/>
      <c r="K20" s="569"/>
      <c r="L20" s="60"/>
      <c r="M20" s="60"/>
      <c r="N20" s="569"/>
      <c r="O20" s="538"/>
      <c r="P20" s="538"/>
      <c r="Q20" s="60"/>
      <c r="R20" s="60"/>
      <c r="S20" s="569"/>
      <c r="T20" s="538"/>
      <c r="U20" s="538"/>
      <c r="V20" s="60"/>
      <c r="W20" s="60"/>
      <c r="X20" s="569"/>
      <c r="Y20" s="538"/>
      <c r="Z20" s="538"/>
      <c r="AA20" s="60"/>
      <c r="AB20" s="60"/>
      <c r="AC20" s="569"/>
      <c r="AD20" s="538"/>
      <c r="AE20" s="538"/>
      <c r="AF20" s="60"/>
      <c r="AG20" s="60"/>
      <c r="AH20" s="569"/>
      <c r="AI20" s="538"/>
      <c r="AJ20" s="913"/>
      <c r="AK20" s="537"/>
      <c r="AL20" s="31"/>
      <c r="AM20" s="29"/>
      <c r="AN20" s="29"/>
      <c r="AO20" s="29"/>
      <c r="AP20" s="29"/>
    </row>
    <row r="21" spans="2:42" ht="15" customHeight="1">
      <c r="B21" s="32"/>
      <c r="C21" s="127"/>
      <c r="D21" s="63"/>
      <c r="E21" s="29"/>
      <c r="F21" s="27"/>
      <c r="G21" s="27"/>
      <c r="H21" s="27"/>
      <c r="I21" s="27"/>
      <c r="J21" s="568"/>
      <c r="K21" s="568"/>
      <c r="L21" s="27"/>
      <c r="M21" s="27"/>
      <c r="N21" s="568"/>
      <c r="O21" s="537"/>
      <c r="P21" s="537"/>
      <c r="Q21" s="27"/>
      <c r="R21" s="27"/>
      <c r="S21" s="568"/>
      <c r="T21" s="537"/>
      <c r="U21" s="537"/>
      <c r="V21" s="27"/>
      <c r="W21" s="27"/>
      <c r="X21" s="568"/>
      <c r="Y21" s="537"/>
      <c r="Z21" s="537"/>
      <c r="AA21" s="27"/>
      <c r="AB21" s="27"/>
      <c r="AC21" s="568"/>
      <c r="AD21" s="537"/>
      <c r="AE21" s="537"/>
      <c r="AF21" s="27"/>
      <c r="AG21" s="27"/>
      <c r="AH21" s="568"/>
      <c r="AI21" s="537"/>
      <c r="AJ21" s="537"/>
      <c r="AK21" s="537"/>
      <c r="AL21" s="31"/>
      <c r="AM21" s="29"/>
      <c r="AN21" s="29"/>
      <c r="AO21" s="29"/>
      <c r="AP21" s="29"/>
    </row>
    <row r="22" spans="2:42" ht="18" customHeight="1">
      <c r="B22" s="32"/>
      <c r="C22" s="252" t="s">
        <v>153</v>
      </c>
      <c r="D22" s="63"/>
      <c r="E22" s="29"/>
      <c r="F22" s="27"/>
      <c r="G22" s="27"/>
      <c r="H22" s="27"/>
      <c r="I22" s="27"/>
      <c r="J22" s="568"/>
      <c r="K22" s="568"/>
      <c r="L22" s="27"/>
      <c r="M22" s="27"/>
      <c r="N22" s="568"/>
      <c r="O22" s="537"/>
      <c r="P22" s="537"/>
      <c r="Q22" s="27"/>
      <c r="R22" s="27"/>
      <c r="S22" s="568"/>
      <c r="T22" s="537"/>
      <c r="U22" s="537"/>
      <c r="V22" s="27"/>
      <c r="W22" s="27"/>
      <c r="X22" s="568"/>
      <c r="Y22" s="537"/>
      <c r="Z22" s="537"/>
      <c r="AA22" s="27"/>
      <c r="AB22" s="27"/>
      <c r="AC22" s="568"/>
      <c r="AD22" s="537"/>
      <c r="AE22" s="537"/>
      <c r="AF22" s="27"/>
      <c r="AG22" s="27"/>
      <c r="AH22" s="568"/>
      <c r="AI22" s="537"/>
      <c r="AJ22" s="537"/>
      <c r="AK22" s="537"/>
      <c r="AL22" s="31"/>
      <c r="AM22" s="29"/>
      <c r="AN22" s="29"/>
      <c r="AO22" s="29"/>
      <c r="AP22" s="29"/>
    </row>
    <row r="23" spans="2:42" ht="15" customHeight="1" thickBot="1">
      <c r="B23" s="32"/>
      <c r="C23" s="127"/>
      <c r="D23" s="63"/>
      <c r="E23" s="29"/>
      <c r="F23" s="27"/>
      <c r="G23" s="27"/>
      <c r="H23" s="27"/>
      <c r="I23" s="27"/>
      <c r="J23" s="568"/>
      <c r="K23" s="568"/>
      <c r="L23" s="27"/>
      <c r="M23" s="27"/>
      <c r="N23" s="568"/>
      <c r="O23" s="537"/>
      <c r="P23" s="537"/>
      <c r="Q23" s="27"/>
      <c r="R23" s="27"/>
      <c r="S23" s="568"/>
      <c r="T23" s="537"/>
      <c r="U23" s="537"/>
      <c r="V23" s="27"/>
      <c r="W23" s="27"/>
      <c r="X23" s="568"/>
      <c r="Y23" s="537"/>
      <c r="Z23" s="537"/>
      <c r="AA23" s="27"/>
      <c r="AB23" s="27"/>
      <c r="AC23" s="568"/>
      <c r="AD23" s="537"/>
      <c r="AE23" s="537"/>
      <c r="AF23" s="27"/>
      <c r="AG23" s="27"/>
      <c r="AH23" s="568"/>
      <c r="AI23" s="537"/>
      <c r="AJ23" s="537"/>
      <c r="AK23" s="537"/>
      <c r="AL23" s="31"/>
      <c r="AM23" s="29"/>
      <c r="AN23" s="29"/>
      <c r="AO23" s="29"/>
      <c r="AP23" s="29"/>
    </row>
    <row r="24" spans="2:42" ht="15" customHeight="1">
      <c r="B24" s="32"/>
      <c r="D24" s="246"/>
      <c r="E24" s="255"/>
      <c r="F24" s="1064" t="s">
        <v>419</v>
      </c>
      <c r="G24" s="1066" t="s">
        <v>329</v>
      </c>
      <c r="H24" s="1067"/>
      <c r="I24" s="1067"/>
      <c r="J24" s="1067"/>
      <c r="K24" s="1068"/>
      <c r="L24" s="1066" t="s">
        <v>330</v>
      </c>
      <c r="M24" s="1067"/>
      <c r="N24" s="1067"/>
      <c r="O24" s="1067"/>
      <c r="P24" s="1068"/>
      <c r="Q24" s="6"/>
      <c r="R24" s="2"/>
      <c r="S24" s="767"/>
      <c r="T24" s="767"/>
      <c r="U24" s="581"/>
      <c r="V24" s="2"/>
      <c r="W24" s="2"/>
      <c r="X24" s="581"/>
      <c r="Y24" s="581"/>
      <c r="Z24" s="540"/>
      <c r="AA24" s="29"/>
      <c r="AB24" s="29"/>
      <c r="AC24" s="580"/>
      <c r="AD24" s="540"/>
      <c r="AE24" s="540"/>
      <c r="AF24" s="27"/>
      <c r="AG24" s="27"/>
      <c r="AH24" s="568"/>
      <c r="AI24" s="540"/>
      <c r="AJ24" s="540"/>
      <c r="AK24" s="540"/>
      <c r="AL24" s="31"/>
      <c r="AM24" s="29"/>
      <c r="AN24" s="29"/>
      <c r="AO24" s="29"/>
      <c r="AP24" s="29"/>
    </row>
    <row r="25" spans="2:42" ht="22.15" customHeight="1" thickBot="1">
      <c r="B25" s="32"/>
      <c r="D25" s="256"/>
      <c r="E25" s="257"/>
      <c r="F25" s="1065"/>
      <c r="G25" s="1071"/>
      <c r="H25" s="1072"/>
      <c r="I25" s="1072"/>
      <c r="J25" s="1072"/>
      <c r="K25" s="1073"/>
      <c r="L25" s="1069"/>
      <c r="M25" s="1027"/>
      <c r="N25" s="1027"/>
      <c r="O25" s="1027"/>
      <c r="P25" s="1070"/>
      <c r="Q25" s="6"/>
      <c r="R25" s="2"/>
      <c r="S25" s="767"/>
      <c r="T25" s="767"/>
      <c r="U25" s="581"/>
      <c r="V25" s="2"/>
      <c r="W25" s="2"/>
      <c r="X25" s="581"/>
      <c r="Y25" s="581"/>
      <c r="Z25" s="549"/>
      <c r="AA25" s="258"/>
      <c r="AB25" s="258"/>
      <c r="AC25" s="582"/>
      <c r="AD25" s="549"/>
      <c r="AE25" s="549"/>
      <c r="AF25" s="27"/>
      <c r="AG25" s="27"/>
      <c r="AH25" s="568"/>
      <c r="AI25" s="549"/>
      <c r="AJ25" s="549"/>
      <c r="AK25" s="549"/>
      <c r="AL25" s="31"/>
      <c r="AM25" s="29"/>
      <c r="AN25" s="29"/>
      <c r="AO25" s="29"/>
      <c r="AP25" s="29"/>
    </row>
    <row r="26" spans="2:42" ht="15" customHeight="1">
      <c r="B26" s="32"/>
      <c r="D26" s="259" t="s">
        <v>86</v>
      </c>
      <c r="E26" s="264" t="str">
        <f>IF(code0="","",IF(name0="","noname",name0))</f>
        <v/>
      </c>
      <c r="F26" s="455" t="str">
        <f>IF(code0="","",SUM(J$46:J$190))</f>
        <v/>
      </c>
      <c r="G26" s="1055" t="s">
        <v>331</v>
      </c>
      <c r="H26" s="1056"/>
      <c r="I26" s="1056"/>
      <c r="J26" s="1056"/>
      <c r="K26" s="1057"/>
      <c r="L26" s="1055" t="str">
        <f>IF(code0="","",SUM(K$46:K$190))</f>
        <v/>
      </c>
      <c r="M26" s="1056"/>
      <c r="N26" s="1056"/>
      <c r="O26" s="1056"/>
      <c r="P26" s="1057"/>
      <c r="Q26" s="6"/>
      <c r="R26" s="2"/>
      <c r="S26" s="767"/>
      <c r="T26" s="767"/>
      <c r="U26" s="581"/>
      <c r="V26" s="2"/>
      <c r="W26" s="2"/>
      <c r="X26" s="581"/>
      <c r="Y26" s="581"/>
      <c r="Z26" s="539"/>
      <c r="AA26" s="258"/>
      <c r="AB26" s="258"/>
      <c r="AC26" s="582"/>
      <c r="AD26" s="539"/>
      <c r="AE26" s="539"/>
      <c r="AF26" s="27"/>
      <c r="AG26" s="27"/>
      <c r="AH26" s="568"/>
      <c r="AI26" s="539"/>
      <c r="AJ26" s="539"/>
      <c r="AK26" s="539"/>
      <c r="AL26" s="31"/>
      <c r="AM26" s="29"/>
      <c r="AN26" s="29"/>
      <c r="AO26" s="29"/>
      <c r="AP26" s="29"/>
    </row>
    <row r="27" spans="2:42" ht="15" customHeight="1">
      <c r="B27" s="32"/>
      <c r="D27" s="260" t="s">
        <v>392</v>
      </c>
      <c r="E27" s="265" t="str">
        <f>IF(code1="","",IF(name1="","noname",name1))</f>
        <v/>
      </c>
      <c r="F27" s="456" t="str">
        <f>IF(code1="","",SUM(N$46:N$190))</f>
        <v/>
      </c>
      <c r="G27" s="1049" t="str">
        <f>IF(code0="","",SUM(O$46:O$190))</f>
        <v/>
      </c>
      <c r="H27" s="1050"/>
      <c r="I27" s="1050"/>
      <c r="J27" s="1050"/>
      <c r="K27" s="1051"/>
      <c r="L27" s="1049" t="str">
        <f>IF(code0="","",SUM(P$46:P$190))</f>
        <v/>
      </c>
      <c r="M27" s="1050"/>
      <c r="N27" s="1050"/>
      <c r="O27" s="1050"/>
      <c r="P27" s="1051"/>
      <c r="Q27" s="6"/>
      <c r="R27" s="2"/>
      <c r="S27" s="767"/>
      <c r="T27" s="767"/>
      <c r="U27" s="581"/>
      <c r="V27" s="2"/>
      <c r="W27" s="2"/>
      <c r="X27" s="581"/>
      <c r="Y27" s="581"/>
      <c r="Z27" s="540"/>
      <c r="AA27" s="97"/>
      <c r="AB27" s="97"/>
      <c r="AC27" s="571"/>
      <c r="AD27" s="540"/>
      <c r="AE27" s="540"/>
      <c r="AF27" s="27"/>
      <c r="AG27" s="27"/>
      <c r="AH27" s="568"/>
      <c r="AI27" s="540"/>
      <c r="AJ27" s="540"/>
      <c r="AK27" s="540"/>
      <c r="AL27" s="31"/>
      <c r="AM27" s="29"/>
      <c r="AN27" s="29"/>
      <c r="AO27" s="29"/>
      <c r="AP27" s="29"/>
    </row>
    <row r="28" spans="2:42" ht="15" customHeight="1">
      <c r="B28" s="32"/>
      <c r="D28" s="260" t="s">
        <v>393</v>
      </c>
      <c r="E28" s="265" t="str">
        <f>IF(code2="","",IF(name2="","noname",name2))</f>
        <v/>
      </c>
      <c r="F28" s="456" t="str">
        <f>IF(code2="","",SUM(S$46:S$190))</f>
        <v/>
      </c>
      <c r="G28" s="1052" t="str">
        <f>IF(code1="","",SUM(T$46:T$190))</f>
        <v/>
      </c>
      <c r="H28" s="1053"/>
      <c r="I28" s="1053"/>
      <c r="J28" s="1053"/>
      <c r="K28" s="1054"/>
      <c r="L28" s="1052" t="str">
        <f>IF(code1="","",SUM(U$46:U$190))</f>
        <v/>
      </c>
      <c r="M28" s="1053"/>
      <c r="N28" s="1053"/>
      <c r="O28" s="1053"/>
      <c r="P28" s="1054"/>
      <c r="Q28" s="6"/>
      <c r="R28" s="2"/>
      <c r="S28" s="767"/>
      <c r="T28" s="767"/>
      <c r="U28" s="581"/>
      <c r="V28" s="2"/>
      <c r="W28" s="2"/>
      <c r="X28" s="581"/>
      <c r="Y28" s="581"/>
      <c r="Z28" s="540"/>
      <c r="AA28" s="97"/>
      <c r="AB28" s="97"/>
      <c r="AC28" s="571"/>
      <c r="AD28" s="540"/>
      <c r="AE28" s="540"/>
      <c r="AF28" s="27"/>
      <c r="AG28" s="27"/>
      <c r="AH28" s="568"/>
      <c r="AI28" s="540"/>
      <c r="AJ28" s="540"/>
      <c r="AK28" s="540"/>
      <c r="AL28" s="31"/>
      <c r="AM28" s="29"/>
      <c r="AN28" s="29"/>
      <c r="AO28" s="29"/>
      <c r="AP28" s="29"/>
    </row>
    <row r="29" spans="2:42" ht="15" customHeight="1">
      <c r="B29" s="32"/>
      <c r="D29" s="260" t="s">
        <v>339</v>
      </c>
      <c r="E29" s="265" t="str">
        <f>IF(code3="","",IF(name3="","noname",name3))</f>
        <v/>
      </c>
      <c r="F29" s="456" t="str">
        <f>IF(code3="","",SUM(X$46:X$190))</f>
        <v/>
      </c>
      <c r="G29" s="1052" t="str">
        <f>IF(code2="","",SUM(Y$46:Y$190))</f>
        <v/>
      </c>
      <c r="H29" s="1053"/>
      <c r="I29" s="1053"/>
      <c r="J29" s="1053"/>
      <c r="K29" s="1054"/>
      <c r="L29" s="1052" t="str">
        <f>IF(code2="","",SUM(Z$46:Z$190))</f>
        <v/>
      </c>
      <c r="M29" s="1053"/>
      <c r="N29" s="1053"/>
      <c r="O29" s="1053"/>
      <c r="P29" s="1054"/>
      <c r="Q29" s="6"/>
      <c r="R29" s="2"/>
      <c r="S29" s="767"/>
      <c r="T29" s="767"/>
      <c r="U29" s="581"/>
      <c r="V29" s="2"/>
      <c r="W29" s="2"/>
      <c r="X29" s="581"/>
      <c r="Y29" s="581"/>
      <c r="Z29" s="540"/>
      <c r="AA29" s="97"/>
      <c r="AB29" s="97"/>
      <c r="AC29" s="571"/>
      <c r="AD29" s="540"/>
      <c r="AE29" s="540"/>
      <c r="AF29" s="27"/>
      <c r="AG29" s="27"/>
      <c r="AH29" s="568"/>
      <c r="AI29" s="540"/>
      <c r="AJ29" s="540"/>
      <c r="AK29" s="540"/>
      <c r="AL29" s="31"/>
      <c r="AM29" s="29"/>
      <c r="AN29" s="29"/>
      <c r="AO29" s="29"/>
      <c r="AP29" s="29"/>
    </row>
    <row r="30" spans="2:42" ht="15" customHeight="1">
      <c r="B30" s="32"/>
      <c r="D30" s="260" t="s">
        <v>340</v>
      </c>
      <c r="E30" s="265" t="str">
        <f>IF(code4="","",IF(name4="","noname",name4))</f>
        <v/>
      </c>
      <c r="F30" s="456" t="str">
        <f>IF(code4="","",SUM(AC$46:AC$190))</f>
        <v/>
      </c>
      <c r="G30" s="1052" t="str">
        <f>IF(code4="","",SUM(AD$46:AD$190))</f>
        <v/>
      </c>
      <c r="H30" s="1053"/>
      <c r="I30" s="1053"/>
      <c r="J30" s="1053"/>
      <c r="K30" s="1054"/>
      <c r="L30" s="1052" t="str">
        <f>IF(code4="","",SUM(AE$46:AE$190))</f>
        <v/>
      </c>
      <c r="M30" s="1053"/>
      <c r="N30" s="1053"/>
      <c r="O30" s="1053"/>
      <c r="P30" s="1054"/>
      <c r="Q30" s="6"/>
      <c r="R30" s="2"/>
      <c r="S30" s="767"/>
      <c r="T30" s="767"/>
      <c r="U30" s="581"/>
      <c r="V30" s="2"/>
      <c r="W30" s="2"/>
      <c r="X30" s="581"/>
      <c r="Y30" s="581"/>
      <c r="Z30" s="540"/>
      <c r="AA30" s="29"/>
      <c r="AB30" s="29"/>
      <c r="AC30" s="580"/>
      <c r="AD30" s="540"/>
      <c r="AE30" s="540"/>
      <c r="AF30" s="27"/>
      <c r="AG30" s="27"/>
      <c r="AH30" s="568"/>
      <c r="AI30" s="540"/>
      <c r="AJ30" s="540"/>
      <c r="AK30" s="540"/>
      <c r="AL30" s="31"/>
      <c r="AM30" s="29"/>
      <c r="AN30" s="29"/>
      <c r="AO30" s="29"/>
      <c r="AP30" s="29"/>
    </row>
    <row r="31" spans="2:42" ht="15" customHeight="1" thickBot="1">
      <c r="B31" s="32"/>
      <c r="D31" s="261" t="s">
        <v>341</v>
      </c>
      <c r="E31" s="266" t="str">
        <f>IF(code5="","",IF(name0="","noname",name0))</f>
        <v/>
      </c>
      <c r="F31" s="457" t="str">
        <f>IF(code5="","",SUM(J$46:J$190))</f>
        <v/>
      </c>
      <c r="G31" s="1046" t="str">
        <f>IF(code5="","",SUM(AI$46:AI$190))</f>
        <v/>
      </c>
      <c r="H31" s="1047"/>
      <c r="I31" s="1047"/>
      <c r="J31" s="1047"/>
      <c r="K31" s="1048"/>
      <c r="L31" s="1046" t="str">
        <f>IF(code5="","",SUM(AJ$46:AJ$190))</f>
        <v/>
      </c>
      <c r="M31" s="1047"/>
      <c r="N31" s="1047"/>
      <c r="O31" s="1047"/>
      <c r="P31" s="1048"/>
      <c r="Q31" s="6"/>
      <c r="R31" s="2"/>
      <c r="S31" s="767"/>
      <c r="T31" s="767"/>
      <c r="U31" s="581"/>
      <c r="V31" s="2"/>
      <c r="W31" s="2"/>
      <c r="X31" s="581"/>
      <c r="Y31" s="581"/>
      <c r="Z31" s="541"/>
      <c r="AA31" s="29"/>
      <c r="AB31" s="29"/>
      <c r="AC31" s="580"/>
      <c r="AD31" s="541"/>
      <c r="AE31" s="541"/>
      <c r="AF31" s="27"/>
      <c r="AG31" s="27"/>
      <c r="AH31" s="568"/>
      <c r="AI31" s="541"/>
      <c r="AJ31" s="541"/>
      <c r="AK31" s="541"/>
      <c r="AL31" s="31"/>
      <c r="AM31" s="29"/>
      <c r="AN31" s="29"/>
      <c r="AO31" s="29"/>
      <c r="AP31" s="29"/>
    </row>
    <row r="32" spans="2:42" ht="15" customHeight="1">
      <c r="B32" s="32"/>
      <c r="D32" s="262"/>
      <c r="E32" s="267"/>
      <c r="F32" s="263"/>
      <c r="G32" s="263"/>
      <c r="H32" s="183"/>
      <c r="I32" s="183"/>
      <c r="J32" s="570"/>
      <c r="K32" s="570"/>
      <c r="L32" s="29"/>
      <c r="M32" s="29"/>
      <c r="N32" s="580"/>
      <c r="O32" s="541"/>
      <c r="P32" s="541"/>
      <c r="Q32" s="29"/>
      <c r="R32" s="29"/>
      <c r="S32" s="580"/>
      <c r="T32" s="541"/>
      <c r="U32" s="541"/>
      <c r="V32" s="183"/>
      <c r="W32" s="183"/>
      <c r="X32" s="570"/>
      <c r="Y32" s="541"/>
      <c r="Z32" s="541"/>
      <c r="AA32" s="29"/>
      <c r="AB32" s="29"/>
      <c r="AC32" s="580"/>
      <c r="AD32" s="541"/>
      <c r="AE32" s="541"/>
      <c r="AF32" s="27"/>
      <c r="AG32" s="27"/>
      <c r="AH32" s="568"/>
      <c r="AI32" s="541"/>
      <c r="AJ32" s="541"/>
      <c r="AK32" s="541"/>
      <c r="AL32" s="31"/>
      <c r="AM32" s="29"/>
      <c r="AN32" s="29"/>
      <c r="AO32" s="29"/>
      <c r="AP32" s="29"/>
    </row>
    <row r="33" spans="2:42" ht="15" customHeight="1">
      <c r="B33" s="32"/>
      <c r="D33" s="200"/>
      <c r="E33" s="254"/>
      <c r="F33" s="248"/>
      <c r="G33" s="248"/>
      <c r="H33" s="245"/>
      <c r="I33" s="245"/>
      <c r="J33" s="571"/>
      <c r="K33" s="571"/>
      <c r="L33" s="97"/>
      <c r="M33" s="97"/>
      <c r="N33" s="571"/>
      <c r="O33" s="542"/>
      <c r="P33" s="542"/>
      <c r="Q33" s="97"/>
      <c r="R33" s="97"/>
      <c r="S33" s="571"/>
      <c r="T33" s="542"/>
      <c r="U33" s="542"/>
      <c r="V33" s="27"/>
      <c r="W33" s="27"/>
      <c r="X33" s="568"/>
      <c r="Y33" s="542"/>
      <c r="Z33" s="542"/>
      <c r="AA33" s="27"/>
      <c r="AB33" s="27"/>
      <c r="AC33" s="568"/>
      <c r="AD33" s="542"/>
      <c r="AE33" s="542"/>
      <c r="AF33" s="27"/>
      <c r="AG33" s="27"/>
      <c r="AH33" s="568"/>
      <c r="AI33" s="542"/>
      <c r="AJ33" s="542"/>
      <c r="AK33" s="542"/>
      <c r="AL33" s="31"/>
      <c r="AM33" s="29"/>
      <c r="AN33" s="29"/>
      <c r="AO33" s="29"/>
      <c r="AP33" s="29"/>
    </row>
    <row r="34" spans="2:42" ht="18" customHeight="1">
      <c r="B34" s="32"/>
      <c r="C34" s="252" t="s">
        <v>154</v>
      </c>
      <c r="D34" s="63"/>
      <c r="E34" s="29"/>
      <c r="F34" s="27"/>
      <c r="G34" s="27"/>
      <c r="H34" s="27"/>
      <c r="I34" s="27"/>
      <c r="J34" s="568"/>
      <c r="K34" s="568"/>
      <c r="L34" s="27"/>
      <c r="M34" s="27"/>
      <c r="N34" s="568"/>
      <c r="O34" s="537"/>
      <c r="P34" s="537"/>
      <c r="Q34" s="27"/>
      <c r="R34" s="27"/>
      <c r="S34" s="568"/>
      <c r="T34" s="537"/>
      <c r="U34" s="537"/>
      <c r="V34" s="27"/>
      <c r="W34" s="27"/>
      <c r="X34" s="568"/>
      <c r="Y34" s="537"/>
      <c r="Z34" s="537"/>
      <c r="AA34" s="27"/>
      <c r="AB34" s="27"/>
      <c r="AC34" s="568"/>
      <c r="AD34" s="537"/>
      <c r="AE34" s="537"/>
      <c r="AF34" s="27"/>
      <c r="AG34" s="27"/>
      <c r="AH34" s="568"/>
      <c r="AI34" s="537"/>
      <c r="AJ34" s="537"/>
      <c r="AK34" s="537"/>
      <c r="AL34" s="31"/>
      <c r="AM34" s="29"/>
      <c r="AN34" s="29"/>
      <c r="AO34" s="29"/>
      <c r="AP34" s="29"/>
    </row>
    <row r="35" spans="2:42" ht="15" customHeight="1">
      <c r="B35" s="24"/>
      <c r="C35" s="59"/>
      <c r="D35" s="59"/>
      <c r="E35" s="117"/>
      <c r="F35" s="117"/>
      <c r="G35" s="117"/>
      <c r="H35" s="117"/>
      <c r="I35" s="117"/>
      <c r="J35" s="572"/>
      <c r="K35" s="572"/>
      <c r="L35" s="117"/>
      <c r="M35" s="117"/>
      <c r="N35" s="572"/>
      <c r="O35" s="543"/>
      <c r="P35" s="543"/>
      <c r="Q35" s="117"/>
      <c r="R35" s="117"/>
      <c r="S35" s="572"/>
      <c r="T35" s="543"/>
      <c r="U35" s="543"/>
      <c r="V35" s="117"/>
      <c r="W35" s="117"/>
      <c r="X35" s="572"/>
      <c r="Y35" s="543"/>
      <c r="Z35" s="543"/>
      <c r="AA35" s="117"/>
      <c r="AB35" s="117"/>
      <c r="AC35" s="572"/>
      <c r="AD35" s="543"/>
      <c r="AE35" s="543"/>
      <c r="AF35" s="117"/>
      <c r="AG35" s="117"/>
      <c r="AH35" s="578"/>
      <c r="AI35" s="631"/>
      <c r="AJ35" s="547"/>
      <c r="AK35" s="899"/>
      <c r="AL35" s="20"/>
      <c r="AM35" s="29"/>
      <c r="AN35" s="29"/>
      <c r="AO35" s="29"/>
      <c r="AP35" s="29"/>
    </row>
    <row r="36" spans="2:42" ht="15" customHeight="1">
      <c r="B36" s="33"/>
      <c r="C36" s="1058" t="s">
        <v>111</v>
      </c>
      <c r="D36" s="1058"/>
      <c r="E36" s="1058"/>
      <c r="F36" s="1061" t="s">
        <v>35</v>
      </c>
      <c r="G36" s="756"/>
      <c r="H36" s="923" t="s">
        <v>512</v>
      </c>
      <c r="I36" s="746"/>
      <c r="J36" s="914"/>
      <c r="K36" s="914"/>
      <c r="L36" s="1021" t="s">
        <v>5</v>
      </c>
      <c r="M36" s="291"/>
      <c r="N36" s="914"/>
      <c r="O36" s="908"/>
      <c r="P36" s="908"/>
      <c r="Q36" s="1021" t="s">
        <v>6</v>
      </c>
      <c r="R36" s="291"/>
      <c r="S36" s="914"/>
      <c r="T36" s="908"/>
      <c r="U36" s="908"/>
      <c r="V36" s="1021" t="s">
        <v>7</v>
      </c>
      <c r="W36" s="746"/>
      <c r="X36" s="914"/>
      <c r="Y36" s="908"/>
      <c r="Z36" s="908"/>
      <c r="AA36" s="1021" t="s">
        <v>8</v>
      </c>
      <c r="AB36" s="746"/>
      <c r="AC36" s="914"/>
      <c r="AD36" s="908"/>
      <c r="AE36" s="908"/>
      <c r="AF36" s="1010" t="s">
        <v>9</v>
      </c>
      <c r="AG36" s="750"/>
      <c r="AH36" s="577"/>
      <c r="AI36" s="536"/>
      <c r="AJ36" s="536"/>
      <c r="AK36" s="536"/>
      <c r="AL36" s="31"/>
      <c r="AM36" s="29"/>
      <c r="AN36" s="29"/>
      <c r="AO36" s="29"/>
      <c r="AP36" s="29"/>
    </row>
    <row r="37" spans="2:42" ht="15" customHeight="1">
      <c r="B37" s="33"/>
      <c r="C37" s="1059"/>
      <c r="D37" s="1059"/>
      <c r="E37" s="1059"/>
      <c r="F37" s="1062"/>
      <c r="G37" s="754"/>
      <c r="H37" s="76" t="s">
        <v>551</v>
      </c>
      <c r="I37" s="76"/>
      <c r="J37" s="574"/>
      <c r="K37" s="574"/>
      <c r="L37" s="1025"/>
      <c r="M37" s="2"/>
      <c r="N37" s="573"/>
      <c r="O37" s="544"/>
      <c r="P37" s="544"/>
      <c r="Q37" s="1025" t="s">
        <v>6</v>
      </c>
      <c r="R37" s="2"/>
      <c r="S37" s="573"/>
      <c r="T37" s="544"/>
      <c r="U37" s="544"/>
      <c r="V37" s="1025"/>
      <c r="W37" s="748"/>
      <c r="X37" s="573"/>
      <c r="Y37" s="544"/>
      <c r="Z37" s="544"/>
      <c r="AA37" s="1025"/>
      <c r="AB37" s="748"/>
      <c r="AC37" s="573"/>
      <c r="AD37" s="544"/>
      <c r="AE37" s="544"/>
      <c r="AF37" s="1027"/>
      <c r="AG37" s="750"/>
      <c r="AH37" s="577"/>
      <c r="AI37" s="544"/>
      <c r="AJ37" s="544"/>
      <c r="AK37" s="544"/>
      <c r="AL37" s="31"/>
      <c r="AM37" s="29"/>
      <c r="AN37" s="29"/>
      <c r="AO37" s="29"/>
      <c r="AP37" s="29"/>
    </row>
    <row r="38" spans="2:42" ht="27.75" customHeight="1">
      <c r="B38" s="33"/>
      <c r="C38" s="1059"/>
      <c r="D38" s="1059"/>
      <c r="E38" s="1059"/>
      <c r="F38" s="1062"/>
      <c r="G38" s="754"/>
      <c r="H38" s="450" t="str">
        <f>IF(code0="","",code0)</f>
        <v/>
      </c>
      <c r="I38" s="450"/>
      <c r="J38" s="450"/>
      <c r="K38" s="575"/>
      <c r="L38" s="450" t="str">
        <f>IF(code1="","",code1)</f>
        <v/>
      </c>
      <c r="M38" s="2"/>
      <c r="N38" s="450"/>
      <c r="O38" s="544"/>
      <c r="P38" s="544"/>
      <c r="Q38" s="450" t="str">
        <f>IF(code2="","",code2)</f>
        <v/>
      </c>
      <c r="R38" s="2"/>
      <c r="S38" s="450"/>
      <c r="T38" s="544"/>
      <c r="U38" s="544"/>
      <c r="V38" s="450" t="str">
        <f>IF(code3="","",code3)</f>
        <v/>
      </c>
      <c r="W38" s="450"/>
      <c r="X38" s="450"/>
      <c r="Y38" s="544"/>
      <c r="Z38" s="544"/>
      <c r="AA38" s="450" t="str">
        <f>IF(code4="","",code4)</f>
        <v/>
      </c>
      <c r="AB38" s="450"/>
      <c r="AC38" s="450"/>
      <c r="AD38" s="544"/>
      <c r="AE38" s="544"/>
      <c r="AF38" s="450" t="str">
        <f>IF(code5="","",code5)</f>
        <v/>
      </c>
      <c r="AG38" s="450"/>
      <c r="AH38" s="450"/>
      <c r="AI38" s="544"/>
      <c r="AJ38" s="544"/>
      <c r="AK38" s="544"/>
      <c r="AL38" s="31"/>
      <c r="AM38" s="29"/>
      <c r="AN38" s="29"/>
      <c r="AO38" s="29"/>
      <c r="AP38" s="29"/>
    </row>
    <row r="39" spans="2:42" ht="19.5" customHeight="1">
      <c r="B39" s="33"/>
      <c r="C39" s="1060"/>
      <c r="D39" s="1060"/>
      <c r="E39" s="1060"/>
      <c r="F39" s="1063"/>
      <c r="G39" s="754"/>
      <c r="H39" s="444" t="str">
        <f>IF(code0="","",IF(name0="","noname",name0))</f>
        <v/>
      </c>
      <c r="I39" s="444"/>
      <c r="J39" s="445"/>
      <c r="K39" s="445"/>
      <c r="L39" s="444" t="str">
        <f>IF(code1="","",IF(name1="","noname",name1))</f>
        <v/>
      </c>
      <c r="M39" s="915"/>
      <c r="N39" s="445"/>
      <c r="O39" s="545"/>
      <c r="P39" s="545"/>
      <c r="Q39" s="444" t="str">
        <f>IF(code2="","",IF(name2="","noname",name2))</f>
        <v/>
      </c>
      <c r="R39" s="915"/>
      <c r="S39" s="445"/>
      <c r="T39" s="545"/>
      <c r="U39" s="545"/>
      <c r="V39" s="444" t="str">
        <f>IF(code3="","",IF(name3="","noname",name3))</f>
        <v/>
      </c>
      <c r="W39" s="444"/>
      <c r="X39" s="445"/>
      <c r="Y39" s="545"/>
      <c r="Z39" s="545"/>
      <c r="AA39" s="444" t="str">
        <f>IF(code4="","",IF(name4="","noname",name4))</f>
        <v/>
      </c>
      <c r="AB39" s="444"/>
      <c r="AC39" s="445"/>
      <c r="AD39" s="545"/>
      <c r="AE39" s="545"/>
      <c r="AF39" s="444" t="str">
        <f>IF(code5="","",IF(name5="","noname",name5))</f>
        <v/>
      </c>
      <c r="AG39" s="444"/>
      <c r="AH39" s="917"/>
      <c r="AI39" s="918"/>
      <c r="AJ39" s="899"/>
      <c r="AK39" s="899"/>
      <c r="AL39" s="31"/>
      <c r="AM39" s="29"/>
      <c r="AN39" s="29"/>
      <c r="AO39" s="29"/>
      <c r="AP39" s="29"/>
    </row>
    <row r="40" spans="2:42" ht="7.5" customHeight="1">
      <c r="B40" s="33"/>
      <c r="C40" s="168"/>
      <c r="D40" s="168"/>
      <c r="E40" s="168"/>
      <c r="F40" s="8"/>
      <c r="G40" s="754"/>
      <c r="H40" s="586"/>
      <c r="I40" s="1"/>
      <c r="J40" s="697"/>
      <c r="K40" s="697"/>
      <c r="L40" s="254"/>
      <c r="M40" s="1"/>
      <c r="N40" s="713"/>
      <c r="O40" s="713"/>
      <c r="P40" s="713"/>
      <c r="Q40" s="254"/>
      <c r="R40" s="1"/>
      <c r="S40" s="697"/>
      <c r="T40" s="721"/>
      <c r="U40" s="721"/>
      <c r="V40" s="254"/>
      <c r="W40" s="1"/>
      <c r="X40" s="576"/>
      <c r="Y40" s="546"/>
      <c r="Z40" s="546"/>
      <c r="AA40" s="254"/>
      <c r="AB40" s="1"/>
      <c r="AC40" s="576"/>
      <c r="AD40" s="546"/>
      <c r="AE40" s="546"/>
      <c r="AF40" s="254"/>
      <c r="AG40" s="1"/>
      <c r="AH40" s="546"/>
      <c r="AI40" s="546"/>
      <c r="AJ40" s="546"/>
      <c r="AK40" s="546"/>
      <c r="AL40" s="31"/>
      <c r="AM40" s="29"/>
      <c r="AN40" s="29"/>
      <c r="AO40" s="29"/>
      <c r="AP40" s="29"/>
    </row>
    <row r="41" spans="2:42" ht="15" customHeight="1">
      <c r="B41" s="33"/>
      <c r="C41" s="202" t="s">
        <v>133</v>
      </c>
      <c r="D41" s="89"/>
      <c r="E41" s="90"/>
      <c r="F41" s="596" t="str">
        <f>IF(city="","",VLOOKUP(city,cities_data,3,0))</f>
        <v/>
      </c>
      <c r="G41" s="596"/>
      <c r="H41" s="587"/>
      <c r="I41" s="1"/>
      <c r="J41" s="890">
        <f>IF(H41=$AK41,1,"")</f>
        <v>1</v>
      </c>
      <c r="K41" s="699"/>
      <c r="L41" s="587" t="str">
        <f>IF(code1="","",'I1'!H38)</f>
        <v/>
      </c>
      <c r="M41" s="1"/>
      <c r="N41" s="890" t="str">
        <f>IF(L41=$AK41,1,"")</f>
        <v/>
      </c>
      <c r="O41" s="698"/>
      <c r="P41" s="699"/>
      <c r="Q41" s="587" t="str">
        <f>IF(code2="","",'I1'!J38)</f>
        <v/>
      </c>
      <c r="R41" s="1"/>
      <c r="S41" s="890" t="str">
        <f>IF(Q41=$AK41,1,"")</f>
        <v/>
      </c>
      <c r="T41" s="698"/>
      <c r="U41" s="699"/>
      <c r="V41" s="587" t="str">
        <f>IF(code3="","",'I1'!L38)</f>
        <v/>
      </c>
      <c r="W41" s="1"/>
      <c r="X41" s="890" t="str">
        <f>IF(V41=$AK41,1,"")</f>
        <v/>
      </c>
      <c r="Y41" s="717"/>
      <c r="Z41" s="699"/>
      <c r="AA41" s="587" t="str">
        <f>IF(code4="","",'I1'!N38)</f>
        <v/>
      </c>
      <c r="AB41" s="1"/>
      <c r="AC41" s="890" t="str">
        <f>IF(AA41=$AK41,1,"")</f>
        <v/>
      </c>
      <c r="AD41" s="717"/>
      <c r="AE41" s="699"/>
      <c r="AF41" s="587" t="str">
        <f>IF(code5="","",'I1'!P38)</f>
        <v/>
      </c>
      <c r="AG41" s="1"/>
      <c r="AH41" s="890" t="str">
        <f>IF(AF41=$AK41,1,"")</f>
        <v/>
      </c>
      <c r="AI41" s="724"/>
      <c r="AJ41" s="699"/>
      <c r="AK41" s="900">
        <f>MIN($H41,$L41,$Q41,$V41,$AA41,$AF41)</f>
        <v>0</v>
      </c>
      <c r="AL41" s="31"/>
      <c r="AM41" s="29"/>
      <c r="AN41" s="29"/>
      <c r="AO41" s="29"/>
      <c r="AP41" s="29"/>
    </row>
    <row r="42" spans="2:42" ht="15" customHeight="1">
      <c r="B42" s="33"/>
      <c r="C42" s="202" t="s">
        <v>158</v>
      </c>
      <c r="D42" s="89"/>
      <c r="E42" s="90"/>
      <c r="F42" s="596" t="str">
        <f>IF(city="","",VLOOKUP(city,cities_data,3,0))</f>
        <v/>
      </c>
      <c r="G42" s="596"/>
      <c r="H42" s="587" t="str">
        <f>IF(code0="","",'I1'!F39)</f>
        <v/>
      </c>
      <c r="I42" s="1"/>
      <c r="J42" s="890" t="str">
        <f>IF(H42=$AK42,1,"")</f>
        <v/>
      </c>
      <c r="K42" s="699"/>
      <c r="L42" s="587" t="str">
        <f>IF(code1="","",'I1'!H39)</f>
        <v/>
      </c>
      <c r="M42" s="1"/>
      <c r="N42" s="890" t="str">
        <f>IF(L42=$AK42,1,"")</f>
        <v/>
      </c>
      <c r="O42" s="698"/>
      <c r="P42" s="699"/>
      <c r="Q42" s="587" t="str">
        <f>IF(code2="","",'I1'!J39)</f>
        <v/>
      </c>
      <c r="R42" s="1"/>
      <c r="S42" s="890" t="str">
        <f>IF(Q42=$AK42,1,"")</f>
        <v/>
      </c>
      <c r="T42" s="698"/>
      <c r="U42" s="699"/>
      <c r="V42" s="587" t="str">
        <f>IF(code3="","",'I1'!L39)</f>
        <v/>
      </c>
      <c r="W42" s="1"/>
      <c r="X42" s="890" t="str">
        <f>IF(V42=$AK42,1,"")</f>
        <v/>
      </c>
      <c r="Y42" s="717"/>
      <c r="Z42" s="699"/>
      <c r="AA42" s="587" t="str">
        <f>IF(code4="","",'I1'!N39)</f>
        <v/>
      </c>
      <c r="AB42" s="1"/>
      <c r="AC42" s="890" t="str">
        <f>IF(AA42=$AK42,1,"")</f>
        <v/>
      </c>
      <c r="AD42" s="717"/>
      <c r="AE42" s="699"/>
      <c r="AF42" s="587"/>
      <c r="AG42" s="1"/>
      <c r="AH42" s="890">
        <f>IF(AF42=$AK42,1,"")</f>
        <v>1</v>
      </c>
      <c r="AI42" s="724"/>
      <c r="AJ42" s="699"/>
      <c r="AK42" s="900">
        <f>MIN($H42,$L42,$Q42,$V42,$AA42,$AF42)</f>
        <v>0</v>
      </c>
      <c r="AL42" s="31"/>
      <c r="AM42" s="29"/>
      <c r="AN42" s="29"/>
      <c r="AO42" s="29"/>
      <c r="AP42" s="29"/>
    </row>
    <row r="43" spans="2:42" ht="15" customHeight="1">
      <c r="B43" s="33"/>
      <c r="C43" s="49"/>
      <c r="D43" s="47"/>
      <c r="E43" s="27"/>
      <c r="F43" s="160"/>
      <c r="G43" s="748"/>
      <c r="H43" s="366"/>
      <c r="I43" s="1"/>
      <c r="J43" s="610"/>
      <c r="K43" s="700"/>
      <c r="L43" s="366"/>
      <c r="M43" s="1"/>
      <c r="N43" s="610"/>
      <c r="O43" s="711"/>
      <c r="P43" s="700"/>
      <c r="Q43" s="366"/>
      <c r="R43" s="1"/>
      <c r="S43" s="610"/>
      <c r="T43" s="718"/>
      <c r="U43" s="700"/>
      <c r="V43" s="366"/>
      <c r="W43" s="1"/>
      <c r="X43" s="610"/>
      <c r="Y43" s="722"/>
      <c r="Z43" s="700"/>
      <c r="AA43" s="366"/>
      <c r="AB43" s="1"/>
      <c r="AC43" s="610"/>
      <c r="AD43" s="722"/>
      <c r="AE43" s="700"/>
      <c r="AF43" s="366"/>
      <c r="AG43" s="1"/>
      <c r="AH43" s="610"/>
      <c r="AI43" s="718"/>
      <c r="AJ43" s="700"/>
      <c r="AK43" s="901"/>
      <c r="AL43" s="31"/>
      <c r="AM43" s="29"/>
      <c r="AN43" s="29"/>
      <c r="AO43" s="29"/>
      <c r="AP43" s="29"/>
    </row>
    <row r="44" spans="2:42" ht="15" customHeight="1">
      <c r="B44" s="33"/>
      <c r="C44" s="201" t="s">
        <v>107</v>
      </c>
      <c r="D44" s="87"/>
      <c r="E44" s="88"/>
      <c r="F44" s="749"/>
      <c r="G44" s="748"/>
      <c r="H44" s="749"/>
      <c r="I44" s="1"/>
      <c r="J44" s="609"/>
      <c r="K44" s="701"/>
      <c r="L44" s="749"/>
      <c r="M44" s="1"/>
      <c r="N44" s="609"/>
      <c r="O44" s="712"/>
      <c r="P44" s="701"/>
      <c r="Q44" s="749"/>
      <c r="R44" s="1"/>
      <c r="S44" s="609"/>
      <c r="T44" s="719"/>
      <c r="U44" s="701"/>
      <c r="V44" s="749"/>
      <c r="W44" s="1"/>
      <c r="X44" s="609"/>
      <c r="Y44" s="723"/>
      <c r="Z44" s="701"/>
      <c r="AA44" s="749"/>
      <c r="AB44" s="1"/>
      <c r="AC44" s="609"/>
      <c r="AD44" s="723"/>
      <c r="AE44" s="701"/>
      <c r="AF44" s="749"/>
      <c r="AG44" s="1"/>
      <c r="AH44" s="610"/>
      <c r="AI44" s="720"/>
      <c r="AJ44" s="700"/>
      <c r="AK44" s="901"/>
      <c r="AL44" s="31"/>
      <c r="AM44" s="29"/>
      <c r="AN44" s="29"/>
      <c r="AO44" s="29"/>
      <c r="AP44" s="29"/>
    </row>
    <row r="45" spans="2:42" ht="15" customHeight="1">
      <c r="B45" s="33"/>
      <c r="C45" s="49" t="s">
        <v>14</v>
      </c>
      <c r="D45" s="47"/>
      <c r="F45" s="223"/>
      <c r="G45" s="748"/>
      <c r="H45" s="366"/>
      <c r="I45" s="1"/>
      <c r="J45" s="610"/>
      <c r="K45" s="700"/>
      <c r="L45" s="366"/>
      <c r="M45" s="1"/>
      <c r="N45" s="610"/>
      <c r="O45" s="711"/>
      <c r="P45" s="700"/>
      <c r="Q45" s="366"/>
      <c r="R45" s="1"/>
      <c r="S45" s="610"/>
      <c r="T45" s="718"/>
      <c r="U45" s="700"/>
      <c r="V45" s="366"/>
      <c r="W45" s="1"/>
      <c r="X45" s="610"/>
      <c r="Y45" s="722"/>
      <c r="Z45" s="700"/>
      <c r="AA45" s="366"/>
      <c r="AB45" s="1"/>
      <c r="AC45" s="610"/>
      <c r="AD45" s="722"/>
      <c r="AE45" s="700"/>
      <c r="AF45" s="366"/>
      <c r="AG45" s="1"/>
      <c r="AH45" s="610"/>
      <c r="AI45" s="704"/>
      <c r="AJ45" s="700"/>
      <c r="AK45" s="901"/>
      <c r="AL45" s="31"/>
      <c r="AM45" s="29"/>
      <c r="AN45" s="29"/>
      <c r="AO45" s="29"/>
      <c r="AP45" s="29"/>
    </row>
    <row r="46" spans="2:42" ht="15" customHeight="1">
      <c r="B46" s="33"/>
      <c r="C46" s="29"/>
      <c r="D46" s="47" t="s">
        <v>258</v>
      </c>
      <c r="F46" s="182" t="s">
        <v>293</v>
      </c>
      <c r="G46" s="182"/>
      <c r="H46" s="587" t="str">
        <f>IF(code0="","",'I1'!F44)</f>
        <v/>
      </c>
      <c r="I46" s="1"/>
      <c r="J46" s="890" t="str">
        <f t="shared" ref="J46:J96" si="0">IF(AND(H46&gt;0,H46=$AK46),1,"")</f>
        <v/>
      </c>
      <c r="K46" s="891" t="str">
        <f>IF(H46&lt;standard_ped,1,"")</f>
        <v/>
      </c>
      <c r="L46" s="587" t="str">
        <f>IF(code1="","",'I1'!H44)</f>
        <v/>
      </c>
      <c r="M46" s="1"/>
      <c r="N46" s="890" t="str">
        <f t="shared" ref="N46:N96" si="1">IF(AND(L46&gt;0,L46=$AK46),1,"")</f>
        <v/>
      </c>
      <c r="O46" s="894" t="str">
        <f>IF(OR(AND(MAX(p_peds_walk,p_pedsrm_walk)=2,L46&lt;=$H46,p_tripquality=TRUE,$H46&lt;&gt;"",L46&lt;&gt;""),AND(MAX(p_peds_walk,p_pedsrm_walk)=1,L46&lt;$H46,p_tripquality=TRUE,$H46&lt;&gt;"",L46&lt;&gt;"")),1,"")</f>
        <v/>
      </c>
      <c r="P46" s="891" t="str">
        <f>IF(L46&lt;standard_ped,1,"")</f>
        <v/>
      </c>
      <c r="Q46" s="587" t="str">
        <f>IF(code2="","",'I1'!J44)</f>
        <v/>
      </c>
      <c r="R46" s="1"/>
      <c r="S46" s="890" t="str">
        <f t="shared" ref="S46:S96" si="2">IF(AND(Q46&gt;0,Q46=$AK46),1,"")</f>
        <v/>
      </c>
      <c r="T46" s="894" t="str">
        <f>IF(OR(AND(MAX(p_peds_walk,p_pedsrm_walk)=2,Q46&lt;=$H46,p_tripquality=TRUE,$H46&lt;&gt;"",Q46&lt;&gt;""),AND(MAX(p_peds_walk,p_pedsrm_walk)=1,Q46&lt;$H46,p_tripquality=TRUE,$H46&lt;&gt;"",Q46&lt;&gt;"")),1,"")</f>
        <v/>
      </c>
      <c r="U46" s="891" t="str">
        <f>IF(Q46&lt;standard_ped,1,"")</f>
        <v/>
      </c>
      <c r="V46" s="587" t="str">
        <f>IF(code3="","",'I1'!L44)</f>
        <v/>
      </c>
      <c r="W46" s="1"/>
      <c r="X46" s="890" t="str">
        <f t="shared" ref="X46:X96" si="3">IF(AND(V46&gt;0,V46=$AK46),1,"")</f>
        <v/>
      </c>
      <c r="Y46" s="894" t="str">
        <f>IF(OR(AND(MAX(p_peds_walk,p_pedsrm_walk)=2,V46&lt;=$H46,p_tripquality=TRUE,$H46&lt;&gt;"",V46&lt;&gt;""),AND(MAX(p_peds_walk,p_pedsrm_walk)=1,V46&lt;$H46,p_tripquality=TRUE,$H46&lt;&gt;"",V46&lt;&gt;"")),1,"")</f>
        <v/>
      </c>
      <c r="Z46" s="891" t="str">
        <f>IF(V46&lt;standard_ped,1,"")</f>
        <v/>
      </c>
      <c r="AA46" s="587" t="str">
        <f>IF(code4="","",'I1'!N44)</f>
        <v/>
      </c>
      <c r="AB46" s="1"/>
      <c r="AC46" s="890" t="str">
        <f t="shared" ref="AC46:AC96" si="4">IF(AND(AA46&gt;0,AA46=$AK46),1,"")</f>
        <v/>
      </c>
      <c r="AD46" s="894" t="str">
        <f>IF(OR(AND(MAX(p_peds_walk,p_pedsrm_walk)=2,AA46&lt;=$H46,p_tripquality=TRUE,$H46&lt;&gt;"",AA46&lt;&gt;""),AND(MAX(p_peds_walk,p_pedsrm_walk)=1,AA46&lt;$H46,p_tripquality=TRUE,$H46&lt;&gt;"",AA46&lt;&gt;"")),1,"")</f>
        <v/>
      </c>
      <c r="AE46" s="891" t="str">
        <f>IF(AA46&lt;standard_ped,1,"")</f>
        <v/>
      </c>
      <c r="AF46" s="587" t="str">
        <f>IF(code5="","",'I1'!P44)</f>
        <v/>
      </c>
      <c r="AG46" s="1"/>
      <c r="AH46" s="890" t="str">
        <f t="shared" ref="AH46:AH96" si="5">IF(AND(AF46&gt;0,AF46=$AK46),1,"")</f>
        <v/>
      </c>
      <c r="AI46" s="894" t="str">
        <f>IF(OR(AND(MAX(p_peds_walk,p_pedsrm_walk)=2,AF46&lt;=$H46,p_tripquality=TRUE,$H46&lt;&gt;"",AF46&lt;&gt;""),AND(MAX(p_peds_walk,p_pedsrm_walk)=1,AF46&lt;$H46,p_tripquality=TRUE,$H46&lt;&gt;"",AF46&lt;&gt;"")),1,"")</f>
        <v/>
      </c>
      <c r="AJ46" s="891" t="str">
        <f>IF(AF46&lt;standard_ped,1,"")</f>
        <v/>
      </c>
      <c r="AK46" s="900">
        <f>MAX($H46,$L46,$Q46,$V46,$AA46,$AF46)</f>
        <v>0</v>
      </c>
      <c r="AL46" s="31"/>
      <c r="AM46" s="29"/>
      <c r="AN46" s="29"/>
      <c r="AO46" s="29"/>
      <c r="AP46" s="29"/>
    </row>
    <row r="47" spans="2:42" ht="15" customHeight="1">
      <c r="B47" s="33"/>
      <c r="C47" s="29"/>
      <c r="D47" s="47" t="s">
        <v>15</v>
      </c>
      <c r="F47" s="190" t="str">
        <f>IF('I2'!G24="","",'I2'!G24)</f>
        <v/>
      </c>
      <c r="G47" s="190"/>
      <c r="H47" s="584" t="str">
        <f>IF(AND(code0&lt;&gt;"",'I2'!$G$29&lt;&gt;""),'I2'!$G$29,"")</f>
        <v/>
      </c>
      <c r="I47" s="1"/>
      <c r="J47" s="890" t="str">
        <f t="shared" si="0"/>
        <v/>
      </c>
      <c r="K47" s="702"/>
      <c r="L47" s="584" t="str">
        <f>IF(AND(code0&lt;&gt;"",'I2'!$N$29&lt;&gt;""),'I2'!$N$29,"")</f>
        <v/>
      </c>
      <c r="M47" s="1"/>
      <c r="N47" s="890" t="str">
        <f t="shared" si="1"/>
        <v/>
      </c>
      <c r="O47" s="894" t="str">
        <f>IF(OR(AND(MAX(p_peds_walk,p_pedsrm_walk)=2,L47&lt;=$H47,p_trips=TRUE,$H47&lt;&gt;"",L47&lt;&gt;""),AND(MAX(p_peds_walk,p_pedsrm_walk)=1,L47&lt;$H47,p_trips=TRUE,$H47&lt;&gt;"",L47&lt;&gt;"")),1,"")</f>
        <v/>
      </c>
      <c r="P47" s="702"/>
      <c r="Q47" s="584" t="str">
        <f>IF(AND(code0&lt;&gt;"",'I2'!$U$29&lt;&gt;""),'I2'!$U$29,"")</f>
        <v/>
      </c>
      <c r="R47" s="1"/>
      <c r="S47" s="890" t="str">
        <f t="shared" si="2"/>
        <v/>
      </c>
      <c r="T47" s="894" t="str">
        <f>IF(OR(AND(MAX(p_peds_walk,p_pedsrm_walk)=2,Q47&lt;=$H47,p_trips=TRUE,$H47&lt;&gt;"",Q47&lt;&gt;""),AND(MAX(p_peds_walk,p_pedsrm_walk)=1,Q47&lt;$H47,p_trips=TRUE,$H47&lt;&gt;"",Q47&lt;&gt;"")),1,"")</f>
        <v/>
      </c>
      <c r="U47" s="702"/>
      <c r="V47" s="584" t="str">
        <f>IF(AND(code0&lt;&gt;"",'I2'!$AB$29&lt;&gt;""),'I2'!$AB$29,"")</f>
        <v/>
      </c>
      <c r="W47" s="1"/>
      <c r="X47" s="890" t="str">
        <f t="shared" si="3"/>
        <v/>
      </c>
      <c r="Y47" s="894" t="str">
        <f>IF(OR(AND(MAX(p_peds_walk,p_pedsrm_walk)=2,V47&lt;=$H47,p_trips=TRUE,$H47&lt;&gt;"",V47&lt;&gt;""),AND(MAX(p_peds_walk,p_pedsrm_walk)=1,V47&lt;$H47,p_trips=TRUE,$H47&lt;&gt;"",V47&lt;&gt;"")),1,"")</f>
        <v/>
      </c>
      <c r="Z47" s="702"/>
      <c r="AA47" s="584" t="str">
        <f>IF(AND(code0&lt;&gt;"",'I2'!$AI$29&lt;&gt;""),'I2'!$AI$29,"")</f>
        <v/>
      </c>
      <c r="AB47" s="1"/>
      <c r="AC47" s="890" t="str">
        <f t="shared" si="4"/>
        <v/>
      </c>
      <c r="AD47" s="894" t="str">
        <f>IF(OR(AND(MAX(p_peds_walk,p_pedsrm_walk)=2,AA47&lt;=$H47,p_trips=TRUE,$H47&lt;&gt;"",AA47&lt;&gt;""),AND(MAX(p_peds_walk,p_pedsrm_walk)=1,AA47&lt;$H47,p_trips=TRUE,$H47&lt;&gt;"",AA47&lt;&gt;"")),1,"")</f>
        <v/>
      </c>
      <c r="AE47" s="702"/>
      <c r="AF47" s="584" t="str">
        <f>IF(AND(code0&lt;&gt;"",'I2'!$AP$29&lt;&gt;""),'I2'!$AP$29,"")</f>
        <v/>
      </c>
      <c r="AG47" s="1"/>
      <c r="AH47" s="890" t="str">
        <f t="shared" si="5"/>
        <v/>
      </c>
      <c r="AI47" s="894" t="str">
        <f>IF(OR(AND(MAX(p_peds_walk,p_pedsrm_walk)=2,AF47&lt;=$H47,p_trips=TRUE,$H47&lt;&gt;"",AF47&lt;&gt;""),AND(MAX(p_peds_walk,p_pedsrm_walk)=1,AF47&lt;$H47,p_trips=TRUE,$H47&lt;&gt;"",AF47&lt;&gt;"")),1,"")</f>
        <v/>
      </c>
      <c r="AJ47" s="702"/>
      <c r="AK47" s="900">
        <f>MAX($H47,$L47,$Q47,$V47,$AA47,$AF47)</f>
        <v>0</v>
      </c>
      <c r="AL47" s="31"/>
      <c r="AM47" s="29"/>
      <c r="AN47" s="29"/>
      <c r="AO47" s="29"/>
      <c r="AP47" s="29"/>
    </row>
    <row r="48" spans="2:42" ht="15" customHeight="1">
      <c r="B48" s="33"/>
      <c r="C48" s="29"/>
      <c r="D48" s="47" t="s">
        <v>297</v>
      </c>
      <c r="F48" s="190" t="str">
        <f>IF('I2'!H24="","",'I2'!H24)</f>
        <v/>
      </c>
      <c r="G48" s="190"/>
      <c r="H48" s="587" t="str">
        <f>IF(AND(code0&lt;&gt;"",'I2'!$H$29&lt;&gt;""),'I2'!$H$29,"")</f>
        <v/>
      </c>
      <c r="I48" s="1"/>
      <c r="J48" s="890" t="str">
        <f t="shared" si="0"/>
        <v/>
      </c>
      <c r="K48" s="702"/>
      <c r="L48" s="587" t="str">
        <f>IF(AND(code0&lt;&gt;"",'I2'!$O$29&lt;&gt;""),'I2'!$O$29,"")</f>
        <v/>
      </c>
      <c r="M48" s="1"/>
      <c r="N48" s="890" t="str">
        <f t="shared" si="1"/>
        <v/>
      </c>
      <c r="O48" s="894" t="str">
        <f>IF(OR(AND(MAX(p_peds_walk,p_pedsrm_walk)=2,L48&lt;=$H48,p_traveltime=TRUE,$H48&lt;&gt;"",L48&lt;&gt;""),AND(MAX(p_peds_walk,p_pedsrm_walk)=1,L48&lt;$H48,p_traveltime=TRUE,$H48&lt;&gt;"",L48&lt;&gt;"")),1,"")</f>
        <v/>
      </c>
      <c r="P48" s="702"/>
      <c r="Q48" s="587" t="str">
        <f>IF(AND(code0&lt;&gt;"",'I2'!$V$29&lt;&gt;""),'I2'!$V$29,"")</f>
        <v/>
      </c>
      <c r="R48" s="1"/>
      <c r="S48" s="890" t="str">
        <f t="shared" si="2"/>
        <v/>
      </c>
      <c r="T48" s="894" t="str">
        <f>IF(OR(AND(MAX(p_peds_walk,p_pedsrm_walk)=2,Q48&lt;=$H48,p_traveltime=TRUE,$H48&lt;&gt;"",Q48&lt;&gt;""),AND(MAX(p_peds_walk,p_pedsrm_walk)=1,Q48&lt;$H48,p_traveltime=TRUE,$H48&lt;&gt;"",Q48&lt;&gt;"")),1,"")</f>
        <v/>
      </c>
      <c r="U48" s="702"/>
      <c r="V48" s="587" t="str">
        <f>IF(AND(code0&lt;&gt;"",'I2'!$AC$29&lt;&gt;""),'I2'!$AC$29,"")</f>
        <v/>
      </c>
      <c r="W48" s="1"/>
      <c r="X48" s="890" t="str">
        <f t="shared" si="3"/>
        <v/>
      </c>
      <c r="Y48" s="894" t="str">
        <f>IF(OR(AND(MAX(p_peds_walk,p_pedsrm_walk)=2,V48&lt;=$H48,p_traveltime=TRUE,$H48&lt;&gt;"",V48&lt;&gt;""),AND(MAX(p_peds_walk,p_pedsrm_walk)=1,V48&lt;$H48,p_traveltime=TRUE,$H48&lt;&gt;"",V48&lt;&gt;"")),1,"")</f>
        <v/>
      </c>
      <c r="Z48" s="702"/>
      <c r="AA48" s="587" t="str">
        <f>IF(AND(code0&lt;&gt;"",'I2'!$AJ$29&lt;&gt;""),'I2'!$AJ$29,"")</f>
        <v/>
      </c>
      <c r="AB48" s="1"/>
      <c r="AC48" s="890" t="str">
        <f t="shared" si="4"/>
        <v/>
      </c>
      <c r="AD48" s="894" t="str">
        <f>IF(OR(AND(MAX(p_peds_walk,p_pedsrm_walk)=2,AA48&lt;=$H48,p_traveltime=TRUE,$H48&lt;&gt;"",AA48&lt;&gt;""),AND(MAX(p_peds_walk,p_pedsrm_walk)=1,AA48&lt;$H48,p_traveltime=TRUE,$H48&lt;&gt;"",AA48&lt;&gt;"")),1,"")</f>
        <v/>
      </c>
      <c r="AE48" s="702"/>
      <c r="AF48" s="587" t="str">
        <f>IF(AND(code0&lt;&gt;"",'I2'!$AQ$29&lt;&gt;""),'I2'!$AQ$29,"")</f>
        <v/>
      </c>
      <c r="AG48" s="1"/>
      <c r="AH48" s="890" t="str">
        <f t="shared" si="5"/>
        <v/>
      </c>
      <c r="AI48" s="894" t="str">
        <f>IF(OR(AND(MAX(p_peds_walk,p_pedsrm_walk)=2,AF48&lt;=$H48,p_traveltime=TRUE,$H48&lt;&gt;"",AF48&lt;&gt;""),AND(MAX(p_peds_walk,p_pedsrm_walk)=1,AF48&lt;$H48,p_traveltime=TRUE,$H48&lt;&gt;"",AF48&lt;&gt;"")),1,"")</f>
        <v/>
      </c>
      <c r="AJ48" s="702"/>
      <c r="AK48" s="900">
        <f>MAX($H48,$L48,$Q48,$V48,$AA48,$AF48)</f>
        <v>0</v>
      </c>
      <c r="AL48" s="31"/>
      <c r="AM48" s="29"/>
      <c r="AN48" s="29"/>
      <c r="AO48" s="29"/>
      <c r="AP48" s="29"/>
    </row>
    <row r="49" spans="2:42" ht="15" customHeight="1">
      <c r="B49" s="33"/>
      <c r="C49" s="29"/>
      <c r="D49" s="47" t="s">
        <v>296</v>
      </c>
      <c r="F49" s="190" t="str">
        <f>IF('I2'!I24="","",'I2'!I24)</f>
        <v/>
      </c>
      <c r="G49" s="190"/>
      <c r="H49" s="587" t="str">
        <f>IF(AND(code0&lt;&gt;"",'I2'!$I$29&lt;&gt;""),'I2'!$I$29,"")</f>
        <v/>
      </c>
      <c r="I49" s="1"/>
      <c r="J49" s="890" t="str">
        <f t="shared" ref="J49:J52" si="6">IF(H49=$AK49,1,"")</f>
        <v/>
      </c>
      <c r="K49" s="702"/>
      <c r="L49" s="587" t="str">
        <f>IF(AND(code0&lt;&gt;"",'I2'!$P$29&lt;&gt;""),'I2'!$P$29,"")</f>
        <v/>
      </c>
      <c r="M49" s="1"/>
      <c r="N49" s="890" t="str">
        <f t="shared" ref="N49:N52" si="7">IF(L49=$AK49,1,"")</f>
        <v/>
      </c>
      <c r="O49" s="894" t="str">
        <f>IF(OR(AND(MAX(p_peds_walk,p_pedsrm_walk)=2,L49&lt;=$H49,p_traveltime=TRUE,$H49&lt;&gt;"",L49&lt;&gt;""),AND(MAX(p_peds_walk,p_pedsrm_walk)=1,L49&lt;$H49,p_traveltime=TRUE,$H49&lt;&gt;"",L49&lt;&gt;"")),1,"")</f>
        <v/>
      </c>
      <c r="P49" s="702"/>
      <c r="Q49" s="587" t="str">
        <f>IF(AND(code0&lt;&gt;"",'I2'!$W$29&lt;&gt;""),'I2'!$W$29,"")</f>
        <v/>
      </c>
      <c r="R49" s="1"/>
      <c r="S49" s="890" t="str">
        <f t="shared" ref="S49:S52" si="8">IF(Q49=$AK49,1,"")</f>
        <v/>
      </c>
      <c r="T49" s="894" t="str">
        <f>IF(OR(AND(MAX(p_peds_walk,p_pedsrm_walk)=2,Q49&lt;=$H49,p_traveltime=TRUE,$H49&lt;&gt;"",Q49&lt;&gt;""),AND(MAX(p_peds_walk,p_pedsrm_walk)=1,Q49&lt;$H49,p_traveltime=TRUE,$H49&lt;&gt;"",Q49&lt;&gt;"")),1,"")</f>
        <v/>
      </c>
      <c r="U49" s="702"/>
      <c r="V49" s="587" t="str">
        <f>IF(AND(code0&lt;&gt;"",'I2'!$AD$29&lt;&gt;""),'I2'!$AD$29,"")</f>
        <v/>
      </c>
      <c r="W49" s="1"/>
      <c r="X49" s="890" t="str">
        <f t="shared" ref="X49:X52" si="9">IF(V49=$AK49,1,"")</f>
        <v/>
      </c>
      <c r="Y49" s="894" t="str">
        <f>IF(OR(AND(MAX(p_peds_walk,p_pedsrm_walk)=2,V49&lt;=$H49,p_traveltime=TRUE,$H49&lt;&gt;"",V49&lt;&gt;""),AND(MAX(p_peds_walk,p_pedsrm_walk)=1,V49&lt;$H49,p_traveltime=TRUE,$H49&lt;&gt;"",V49&lt;&gt;"")),1,"")</f>
        <v/>
      </c>
      <c r="Z49" s="702"/>
      <c r="AA49" s="587" t="str">
        <f>IF(AND(code0&lt;&gt;"",'I2'!$AK$29&lt;&gt;""),'I2'!$AK$29,"")</f>
        <v/>
      </c>
      <c r="AB49" s="1"/>
      <c r="AC49" s="890" t="str">
        <f t="shared" ref="AC49:AC52" si="10">IF(AA49=$AK49,1,"")</f>
        <v/>
      </c>
      <c r="AD49" s="894" t="str">
        <f>IF(OR(AND(MAX(p_peds_walk,p_pedsrm_walk)=2,AA49&lt;=$H49,p_traveltime=TRUE,$H49&lt;&gt;"",AA49&lt;&gt;""),AND(MAX(p_peds_walk,p_pedsrm_walk)=1,AA49&lt;$H49,p_traveltime=TRUE,$H49&lt;&gt;"",AA49&lt;&gt;"")),1,"")</f>
        <v/>
      </c>
      <c r="AE49" s="702"/>
      <c r="AF49" s="587" t="str">
        <f>IF(AND(code0&lt;&gt;"",'I2'!$AR$29&lt;&gt;""),'I2'!$AR$29,"")</f>
        <v/>
      </c>
      <c r="AG49" s="1"/>
      <c r="AH49" s="890" t="str">
        <f t="shared" ref="AH49:AH52" si="11">IF(AF49=$AK49,1,"")</f>
        <v/>
      </c>
      <c r="AI49" s="894" t="str">
        <f>IF(OR(AND(MAX(p_peds_walk,p_pedsrm_walk)=2,AF49&lt;=$H49,p_traveltime=TRUE,$H49&lt;&gt;"",AF49&lt;&gt;""),AND(MAX(p_peds_walk,p_pedsrm_walk)=1,AF49&lt;$H49,p_traveltime=TRUE,$H49&lt;&gt;"",AF49&lt;&gt;"")),1,"")</f>
        <v/>
      </c>
      <c r="AJ49" s="702"/>
      <c r="AK49" s="900">
        <f>MIN($H49,$L49,$Q49,$V49,$AA49,$AF49)</f>
        <v>0</v>
      </c>
      <c r="AL49" s="31"/>
      <c r="AM49" s="29"/>
      <c r="AN49" s="29"/>
      <c r="AO49" s="29"/>
      <c r="AP49" s="29"/>
    </row>
    <row r="50" spans="2:42" ht="15" customHeight="1">
      <c r="B50" s="33"/>
      <c r="C50" s="29"/>
      <c r="D50" s="47" t="s">
        <v>19</v>
      </c>
      <c r="F50" s="190" t="str">
        <f>IF('I2'!J24="","",'I2'!J24)</f>
        <v/>
      </c>
      <c r="G50" s="190"/>
      <c r="H50" s="587" t="str">
        <f>IF(AND(code0&lt;&gt;"",'I2'!$J$29&lt;&gt;""),'I2'!$J$29,"")</f>
        <v/>
      </c>
      <c r="I50" s="1"/>
      <c r="J50" s="890" t="str">
        <f t="shared" si="6"/>
        <v/>
      </c>
      <c r="K50" s="702"/>
      <c r="L50" s="587" t="str">
        <f>IF(AND(code0&lt;&gt;"",'I2'!$Q$29&lt;&gt;""),'I2'!$Q$29,"")</f>
        <v/>
      </c>
      <c r="M50" s="1"/>
      <c r="N50" s="890" t="str">
        <f t="shared" si="7"/>
        <v/>
      </c>
      <c r="O50" s="894" t="str">
        <f>IF(OR(AND(MAX(p_peds_walk,p_pedsrm_walk)=2,L50&lt;=$H50,p_traveltime=TRUE,$H50&lt;&gt;"",L50&lt;&gt;""),AND(MAX(p_peds_walk,p_pedsrm_walk)=1,L50&lt;$H50,p_traveltime=TRUE,$H50&lt;&gt;"",L50&lt;&gt;"")),1,"")</f>
        <v/>
      </c>
      <c r="P50" s="702"/>
      <c r="Q50" s="587" t="str">
        <f>IF(AND(code0&lt;&gt;"",'I2'!$X$29&lt;&gt;""),'I2'!$X$29,"")</f>
        <v/>
      </c>
      <c r="R50" s="1"/>
      <c r="S50" s="890" t="str">
        <f t="shared" si="8"/>
        <v/>
      </c>
      <c r="T50" s="894" t="str">
        <f>IF(OR(AND(MAX(p_peds_walk,p_pedsrm_walk)=2,Q50&lt;=$H50,p_traveltime=TRUE,$H50&lt;&gt;"",Q50&lt;&gt;""),AND(MAX(p_peds_walk,p_pedsrm_walk)=1,Q50&lt;$H50,p_traveltime=TRUE,$H50&lt;&gt;"",Q50&lt;&gt;"")),1,"")</f>
        <v/>
      </c>
      <c r="U50" s="702"/>
      <c r="V50" s="587" t="str">
        <f>IF(AND(code0&lt;&gt;"",'I2'!$AE$29&lt;&gt;""),'I2'!$AE$29,"")</f>
        <v/>
      </c>
      <c r="W50" s="1"/>
      <c r="X50" s="890" t="str">
        <f t="shared" si="9"/>
        <v/>
      </c>
      <c r="Y50" s="894" t="str">
        <f>IF(OR(AND(MAX(p_peds_walk,p_pedsrm_walk)=2,V50&lt;=$H50,p_traveltime=TRUE,$H50&lt;&gt;"",V50&lt;&gt;""),AND(MAX(p_peds_walk,p_pedsrm_walk)=1,V50&lt;$H50,p_traveltime=TRUE,$H50&lt;&gt;"",V50&lt;&gt;"")),1,"")</f>
        <v/>
      </c>
      <c r="Z50" s="702"/>
      <c r="AA50" s="587" t="str">
        <f>IF(AND(code0&lt;&gt;"",'I2'!$AL$29&lt;&gt;""),'I2'!$AL$29,"")</f>
        <v/>
      </c>
      <c r="AB50" s="1"/>
      <c r="AC50" s="890" t="str">
        <f t="shared" si="10"/>
        <v/>
      </c>
      <c r="AD50" s="894" t="str">
        <f>IF(OR(AND(MAX(p_peds_walk,p_pedsrm_walk)=2,AA50&lt;=$H50,p_traveltime=TRUE,$H50&lt;&gt;"",AA50&lt;&gt;""),AND(MAX(p_peds_walk,p_pedsrm_walk)=1,AA50&lt;$H50,p_traveltime=TRUE,$H50&lt;&gt;"",AA50&lt;&gt;"")),1,"")</f>
        <v/>
      </c>
      <c r="AE50" s="702"/>
      <c r="AF50" s="587" t="str">
        <f>IF(AND(code0&lt;&gt;"",'I2'!$AS$29&lt;&gt;""),'I2'!$AS$29,"")</f>
        <v/>
      </c>
      <c r="AG50" s="1"/>
      <c r="AH50" s="890" t="str">
        <f t="shared" si="11"/>
        <v/>
      </c>
      <c r="AI50" s="894" t="str">
        <f>IF(OR(AND(MAX(p_peds_walk,p_pedsrm_walk)=2,AF50&lt;=$H50,p_traveltime=TRUE,$H50&lt;&gt;"",AF50&lt;&gt;""),AND(MAX(p_peds_walk,p_pedsrm_walk)=1,AF50&lt;$H50,p_traveltime=TRUE,$H50&lt;&gt;"",AF50&lt;&gt;"")),1,"")</f>
        <v/>
      </c>
      <c r="AJ50" s="702"/>
      <c r="AK50" s="900">
        <f>MIN($H50,$L50,$Q50,$V50,$AA50,$AF50)</f>
        <v>0</v>
      </c>
      <c r="AL50" s="31"/>
      <c r="AM50" s="29"/>
      <c r="AN50" s="29"/>
      <c r="AO50" s="29"/>
      <c r="AP50" s="29"/>
    </row>
    <row r="51" spans="2:42" ht="15" customHeight="1">
      <c r="B51" s="33"/>
      <c r="C51" s="29"/>
      <c r="D51" s="47" t="s">
        <v>16</v>
      </c>
      <c r="F51" s="190" t="str">
        <f>IF('I2'!K24="","",'I2'!K24)</f>
        <v/>
      </c>
      <c r="G51" s="190"/>
      <c r="H51" s="587" t="str">
        <f>IF(AND(code0&lt;&gt;"",'I2'!$K$29&lt;&gt;""),'I2'!$K$29,"")</f>
        <v/>
      </c>
      <c r="I51" s="1"/>
      <c r="J51" s="890" t="str">
        <f t="shared" si="6"/>
        <v/>
      </c>
      <c r="K51" s="702"/>
      <c r="L51" s="587" t="str">
        <f>IF(AND(code0&lt;&gt;"",'I2'!$R$29&lt;&gt;""),'I2'!$R$29,"")</f>
        <v/>
      </c>
      <c r="M51" s="1"/>
      <c r="N51" s="890" t="str">
        <f t="shared" si="7"/>
        <v/>
      </c>
      <c r="O51" s="894" t="str">
        <f>IF(OR(AND(MAX(p_peds_walk,p_pedsrm_walk)=2,L51&lt;=$H51,p_reliability=TRUE,$H51&lt;&gt;"",L51&lt;&gt;""),AND(MAX(p_peds_walk,p_pedsrm_walk)=1,L51&lt;$H51,p_reliability=TRUE,$H51&lt;&gt;"",L51&lt;&gt;"")),1,"")</f>
        <v/>
      </c>
      <c r="P51" s="702"/>
      <c r="Q51" s="587" t="str">
        <f>IF(AND(code0&lt;&gt;"",'I2'!$Y$29&lt;&gt;""),'I2'!$Y$29,"")</f>
        <v/>
      </c>
      <c r="R51" s="1"/>
      <c r="S51" s="890" t="str">
        <f t="shared" si="8"/>
        <v/>
      </c>
      <c r="T51" s="894" t="str">
        <f>IF(OR(AND(MAX(p_peds_walk,p_pedsrm_walk)=2,Q51&lt;=$H51,p_reliability=TRUE,$H51&lt;&gt;"",Q51&lt;&gt;""),AND(MAX(p_peds_walk,p_pedsrm_walk)=1,Q51&lt;$H51,p_reliability=TRUE,$H51&lt;&gt;"",Q51&lt;&gt;"")),1,"")</f>
        <v/>
      </c>
      <c r="U51" s="702"/>
      <c r="V51" s="587" t="str">
        <f>IF(AND(code0&lt;&gt;"",'I2'!$AF$29&lt;&gt;""),'I2'!$AF$29,"")</f>
        <v/>
      </c>
      <c r="W51" s="1"/>
      <c r="X51" s="890" t="str">
        <f t="shared" si="9"/>
        <v/>
      </c>
      <c r="Y51" s="894" t="str">
        <f>IF(OR(AND(MAX(p_peds_walk,p_pedsrm_walk)=2,V51&lt;=$H51,p_reliability=TRUE,$H51&lt;&gt;"",V51&lt;&gt;""),AND(MAX(p_peds_walk,p_pedsrm_walk)=1,V51&lt;$H51,p_reliability=TRUE,$H51&lt;&gt;"",V51&lt;&gt;"")),1,"")</f>
        <v/>
      </c>
      <c r="Z51" s="702"/>
      <c r="AA51" s="587" t="str">
        <f>IF(AND(code0&lt;&gt;"",'I2'!$AM$29&lt;&gt;""),'I2'!$AM$29,"")</f>
        <v/>
      </c>
      <c r="AB51" s="1"/>
      <c r="AC51" s="890" t="str">
        <f t="shared" si="10"/>
        <v/>
      </c>
      <c r="AD51" s="894" t="str">
        <f>IF(OR(AND(MAX(p_peds_walk,p_pedsrm_walk)=2,AA51&lt;=$H51,p_reliability=TRUE,$H51&lt;&gt;"",AA51&lt;&gt;""),AND(MAX(p_peds_walk,p_pedsrm_walk)=1,AA51&lt;$H51,p_reliability=TRUE,$H51&lt;&gt;"",AA51&lt;&gt;"")),1,"")</f>
        <v/>
      </c>
      <c r="AE51" s="702"/>
      <c r="AF51" s="587" t="str">
        <f>IF(AND(code0&lt;&gt;"",'I2'!$AT$29&lt;&gt;""),'I2'!$AT$29,"")</f>
        <v/>
      </c>
      <c r="AG51" s="1"/>
      <c r="AH51" s="890" t="str">
        <f t="shared" si="11"/>
        <v/>
      </c>
      <c r="AI51" s="894" t="str">
        <f>IF(OR(AND(MAX(p_peds_walk,p_pedsrm_walk)=2,AF51&lt;=$H51,p_reliability=TRUE,$H51&lt;&gt;"",AF51&lt;&gt;""),AND(MAX(p_peds_walk,p_pedsrm_walk)=1,AF51&lt;$H51,p_reliability=TRUE,$H51&lt;&gt;"",AF51&lt;&gt;"")),1,"")</f>
        <v/>
      </c>
      <c r="AJ51" s="702"/>
      <c r="AK51" s="900">
        <f>MIN($H51,$L51,$Q51,$V51,$AA51,$AF51)</f>
        <v>0</v>
      </c>
      <c r="AL51" s="31"/>
      <c r="AM51" s="29"/>
      <c r="AN51" s="29"/>
      <c r="AO51" s="29"/>
      <c r="AP51" s="29"/>
    </row>
    <row r="52" spans="2:42" ht="15" customHeight="1">
      <c r="B52" s="33"/>
      <c r="C52" s="59"/>
      <c r="D52" s="85" t="s">
        <v>18</v>
      </c>
      <c r="E52" s="59"/>
      <c r="F52" s="294" t="str">
        <f>IF('I2'!L24="","",'I2'!L24)</f>
        <v/>
      </c>
      <c r="G52" s="190"/>
      <c r="H52" s="585" t="str">
        <f>IF(AND(code0&lt;&gt;"",'I2'!$L$29&lt;&gt;""),'I2'!$L$29,"")</f>
        <v/>
      </c>
      <c r="I52" s="1"/>
      <c r="J52" s="892" t="str">
        <f t="shared" si="6"/>
        <v/>
      </c>
      <c r="K52" s="703"/>
      <c r="L52" s="585" t="str">
        <f>IF(AND(code0&lt;&gt;"",'I2'!$S$29&lt;&gt;""),'I2'!$S$29,"")</f>
        <v/>
      </c>
      <c r="M52" s="1"/>
      <c r="N52" s="892" t="str">
        <f t="shared" si="7"/>
        <v/>
      </c>
      <c r="O52" s="895" t="str">
        <f>IF(OR(AND(MAX(p_peds_walk,p_pedsrm_walk)=2,L52&gt;=$H52,p_tripquality=TRUE,$H52&lt;&gt;"",L52&lt;&gt;""),AND(MAX(p_peds_walk,p_pedsrm_walk)=1,L52&gt;$H52,p_tripquality=TRUE,$H52&lt;&gt;"",L52&lt;&gt;"")),1,"")</f>
        <v/>
      </c>
      <c r="P52" s="703"/>
      <c r="Q52" s="585" t="str">
        <f>IF(AND(code0&lt;&gt;"",'I2'!$Z$29&lt;&gt;""),'I2'!$Z$29,"")</f>
        <v/>
      </c>
      <c r="R52" s="1"/>
      <c r="S52" s="892" t="str">
        <f t="shared" si="8"/>
        <v/>
      </c>
      <c r="T52" s="895" t="str">
        <f>IF(OR(AND(MAX(p_peds_walk,p_pedsrm_walk)=2,Q52&gt;=$H52,p_tripquality=TRUE,$H52&lt;&gt;"",Q52&lt;&gt;""),AND(MAX(p_peds_walk,p_pedsrm_walk)=1,Q52&gt;$H52,p_tripquality=TRUE,$H52&lt;&gt;"",Q52&lt;&gt;"")),1,"")</f>
        <v/>
      </c>
      <c r="U52" s="703"/>
      <c r="V52" s="585" t="str">
        <f>IF(AND(code0&lt;&gt;"",'I2'!$AG$29&lt;&gt;""),'I2'!$AG$29,"")</f>
        <v/>
      </c>
      <c r="W52" s="1"/>
      <c r="X52" s="892" t="str">
        <f t="shared" si="9"/>
        <v/>
      </c>
      <c r="Y52" s="895" t="str">
        <f>IF(OR(AND(MAX(p_peds_walk,p_pedsrm_walk)=2,V52&gt;=$H52,p_tripquality=TRUE,$H52&lt;&gt;"",V52&lt;&gt;""),AND(MAX(p_peds_walk,p_pedsrm_walk)=1,V52&gt;$H52,p_tripquality=TRUE,$H52&lt;&gt;"",V52&lt;&gt;"")),1,"")</f>
        <v/>
      </c>
      <c r="Z52" s="703"/>
      <c r="AA52" s="585" t="str">
        <f>IF(AND(code0&lt;&gt;"",'I2'!$AN$29&lt;&gt;""),'I2'!$AN$29,"")</f>
        <v/>
      </c>
      <c r="AB52" s="1"/>
      <c r="AC52" s="892" t="str">
        <f t="shared" si="10"/>
        <v/>
      </c>
      <c r="AD52" s="895" t="str">
        <f>IF(OR(AND(MAX(p_peds_walk,p_pedsrm_walk)=2,AA52&gt;=$H52,p_tripquality=TRUE,$H52&lt;&gt;"",AA52&lt;&gt;""),AND(MAX(p_peds_walk,p_pedsrm_walk)=1,AA52&gt;$H52,p_tripquality=TRUE,$H52&lt;&gt;"",AA52&lt;&gt;"")),1,"")</f>
        <v/>
      </c>
      <c r="AE52" s="703"/>
      <c r="AF52" s="585" t="str">
        <f>IF(AND(code0&lt;&gt;"",'I2'!$AU$29&lt;&gt;""),'I2'!$AU$29,"")</f>
        <v/>
      </c>
      <c r="AG52" s="1"/>
      <c r="AH52" s="890" t="str">
        <f t="shared" si="11"/>
        <v/>
      </c>
      <c r="AI52" s="894" t="str">
        <f>IF(OR(AND(MAX(p_peds_walk,p_pedsrm_walk)=2,AF52&gt;=$H52,p_tripquality=TRUE,$H52&lt;&gt;"",AF52&lt;&gt;""),AND(MAX(p_peds_walk,p_pedsrm_walk)=1,AF52&gt;$H52,p_tripquality=TRUE,$H52&lt;&gt;"",AF52&lt;&gt;"")),1,"")</f>
        <v/>
      </c>
      <c r="AJ52" s="702"/>
      <c r="AK52" s="900">
        <f>MIN($H52,$L52,$Q52,$V52,$AA52,$AF52)</f>
        <v>0</v>
      </c>
      <c r="AL52" s="31"/>
      <c r="AM52" s="29"/>
      <c r="AN52" s="29"/>
      <c r="AO52" s="29"/>
      <c r="AP52" s="29"/>
    </row>
    <row r="53" spans="2:42" ht="15" customHeight="1">
      <c r="B53" s="33"/>
      <c r="C53" s="49" t="s">
        <v>43</v>
      </c>
      <c r="D53" s="47"/>
      <c r="F53" s="748"/>
      <c r="G53" s="748"/>
      <c r="H53" s="748"/>
      <c r="I53" s="1"/>
      <c r="J53" s="610"/>
      <c r="K53" s="704"/>
      <c r="L53" s="460"/>
      <c r="M53" s="1"/>
      <c r="N53" s="610"/>
      <c r="O53" s="711"/>
      <c r="P53" s="704"/>
      <c r="Q53" s="748"/>
      <c r="R53" s="1"/>
      <c r="S53" s="610"/>
      <c r="T53" s="711"/>
      <c r="U53" s="704"/>
      <c r="V53" s="748"/>
      <c r="W53" s="1"/>
      <c r="X53" s="610"/>
      <c r="Y53" s="711"/>
      <c r="Z53" s="704"/>
      <c r="AA53" s="748"/>
      <c r="AB53" s="1"/>
      <c r="AC53" s="610"/>
      <c r="AD53" s="711"/>
      <c r="AE53" s="704"/>
      <c r="AF53" s="587"/>
      <c r="AG53" s="1"/>
      <c r="AH53" s="610"/>
      <c r="AI53" s="711"/>
      <c r="AJ53" s="704"/>
      <c r="AK53" s="704"/>
      <c r="AL53" s="31"/>
      <c r="AM53" s="29"/>
      <c r="AN53" s="29"/>
      <c r="AO53" s="29"/>
      <c r="AP53" s="29"/>
    </row>
    <row r="54" spans="2:42" ht="15" customHeight="1">
      <c r="B54" s="33"/>
      <c r="C54" s="29"/>
      <c r="D54" s="47" t="s">
        <v>258</v>
      </c>
      <c r="F54" s="182" t="s">
        <v>514</v>
      </c>
      <c r="G54" s="182"/>
      <c r="H54" s="587" t="str">
        <f>IF(code0="","",'I1'!F49)</f>
        <v/>
      </c>
      <c r="I54" s="1"/>
      <c r="J54" s="890" t="str">
        <f t="shared" si="0"/>
        <v/>
      </c>
      <c r="K54" s="891" t="str">
        <f>IF(H54&lt;standard_cycle,1,"")</f>
        <v/>
      </c>
      <c r="L54" s="587" t="str">
        <f>IF(code1="","",'I1'!H49)</f>
        <v/>
      </c>
      <c r="M54" s="1"/>
      <c r="N54" s="890" t="str">
        <f t="shared" si="1"/>
        <v/>
      </c>
      <c r="O54" s="894" t="str">
        <f>IF(OR(AND(p_cycle_move=2,L54&lt;=$H54,p_tripquality=TRUE,$H54&lt;&gt;"",L54&lt;&gt;""),AND(p_cycle_move=1,L54&lt;$H54,p_tripquality=TRUE,$H54&lt;&gt;"",L54&lt;&gt;"")),1,"")</f>
        <v/>
      </c>
      <c r="P54" s="891" t="str">
        <f>IF(L54&lt;standard_cycle,1,"")</f>
        <v/>
      </c>
      <c r="Q54" s="587" t="str">
        <f>IF(code2="","",'I1'!J49)</f>
        <v/>
      </c>
      <c r="R54" s="1"/>
      <c r="S54" s="890" t="str">
        <f t="shared" si="2"/>
        <v/>
      </c>
      <c r="T54" s="894" t="str">
        <f>IF(OR(AND(p_cycle_move=2,Q54&lt;=$H54,p_tripquality=TRUE,$H54&lt;&gt;"",Q54&lt;&gt;""),AND(p_cycle_move=1,Q54&lt;$H54,p_tripquality=TRUE,$H54&lt;&gt;"",Q54&lt;&gt;"")),1,"")</f>
        <v/>
      </c>
      <c r="U54" s="891" t="str">
        <f>IF(Q54&lt;standard_cycle,1,"")</f>
        <v/>
      </c>
      <c r="V54" s="587" t="str">
        <f>IF(code3="","",'I1'!L49)</f>
        <v/>
      </c>
      <c r="W54" s="1"/>
      <c r="X54" s="890" t="str">
        <f t="shared" si="3"/>
        <v/>
      </c>
      <c r="Y54" s="894" t="str">
        <f>IF(OR(AND(p_cycle_move=2,V54&lt;=$H54,p_tripquality=TRUE,$H54&lt;&gt;"",V54&lt;&gt;""),AND(p_cycle_move=1,V54&lt;$H54,p_tripquality=TRUE,$H54&lt;&gt;"",V54&lt;&gt;"")),1,"")</f>
        <v/>
      </c>
      <c r="Z54" s="891" t="str">
        <f>IF(V54&lt;standard_cycle,1,"")</f>
        <v/>
      </c>
      <c r="AA54" s="587" t="str">
        <f>IF(code4="","",'I1'!N49)</f>
        <v/>
      </c>
      <c r="AB54" s="1"/>
      <c r="AC54" s="890" t="str">
        <f t="shared" si="4"/>
        <v/>
      </c>
      <c r="AD54" s="894" t="str">
        <f>IF(OR(AND(p_cycle_move=2,AA54&lt;=$H54,p_tripquality=TRUE,$H54&lt;&gt;"",AA54&lt;&gt;""),AND(p_cycle_move=1,AA54&lt;$H54,p_tripquality=TRUE,$H54&lt;&gt;"",AA54&lt;&gt;"")),1,"")</f>
        <v/>
      </c>
      <c r="AE54" s="891" t="str">
        <f>IF(AA54&lt;standard_cycle,1,"")</f>
        <v/>
      </c>
      <c r="AF54" s="587" t="str">
        <f>IF(code5="","",'I1'!P49)</f>
        <v/>
      </c>
      <c r="AG54" s="1"/>
      <c r="AH54" s="890" t="str">
        <f t="shared" si="5"/>
        <v/>
      </c>
      <c r="AI54" s="894" t="str">
        <f>IF(OR(AND(p_cycle_move=2,AF54&lt;=$H54,p_tripquality=TRUE,$H54&lt;&gt;"",AF54&lt;&gt;""),AND(p_cycle_move=1,AF54&lt;$H54,p_tripquality=TRUE,$H54&lt;&gt;"",AF54&lt;&gt;"")),1,"")</f>
        <v/>
      </c>
      <c r="AJ54" s="891" t="str">
        <f>IF(AF54&lt;standard_cycle,1,"")</f>
        <v/>
      </c>
      <c r="AK54" s="900">
        <f>MAX($H54,$L54,$Q54,$V54,$AA54,$AF54)</f>
        <v>0</v>
      </c>
      <c r="AL54" s="31"/>
      <c r="AM54" s="29"/>
      <c r="AN54" s="29"/>
      <c r="AO54" s="29"/>
      <c r="AP54" s="29"/>
    </row>
    <row r="55" spans="2:42" ht="15" customHeight="1">
      <c r="B55" s="33"/>
      <c r="C55" s="29"/>
      <c r="D55" s="47" t="s">
        <v>15</v>
      </c>
      <c r="F55" s="190" t="str">
        <f>F$47</f>
        <v/>
      </c>
      <c r="G55" s="190"/>
      <c r="H55" s="588" t="str">
        <f>IF(AND(code0&lt;&gt;"",'I2'!$G$30&lt;&gt;""),'I2'!$G$30,"")</f>
        <v/>
      </c>
      <c r="I55" s="1"/>
      <c r="J55" s="890" t="str">
        <f t="shared" si="0"/>
        <v/>
      </c>
      <c r="K55" s="702"/>
      <c r="L55" s="588" t="str">
        <f>IF(AND(code0&lt;&gt;"",'I2'!$N$30&lt;&gt;""),'I2'!$N$30,"")</f>
        <v/>
      </c>
      <c r="M55" s="1"/>
      <c r="N55" s="890" t="str">
        <f t="shared" si="1"/>
        <v/>
      </c>
      <c r="O55" s="894" t="str">
        <f>IF(OR(AND(p_cycle_move=2,L55&lt;=$H55,p_trips=TRUE,$H55&lt;&gt;"",L55&lt;&gt;""),AND(p_cycle_move=1,L55&lt;$H55,p_trips=TRUE,$H55&lt;&gt;"",L55&lt;&gt;"")),1,"")</f>
        <v/>
      </c>
      <c r="P55" s="702"/>
      <c r="Q55" s="588" t="str">
        <f>IF(AND(code0&lt;&gt;"",'I2'!$U$30&lt;&gt;""),'I2'!$U$30,"")</f>
        <v/>
      </c>
      <c r="R55" s="1"/>
      <c r="S55" s="890" t="str">
        <f t="shared" si="2"/>
        <v/>
      </c>
      <c r="T55" s="894" t="str">
        <f>IF(OR(AND(p_cycle_move=2,Q55&lt;=$H55,p_trips=TRUE,$H55&lt;&gt;"",Q55&lt;&gt;""),AND(p_cycle_move=1,Q55&lt;$H55,p_trips=TRUE,$H55&lt;&gt;"",Q55&lt;&gt;"")),1,"")</f>
        <v/>
      </c>
      <c r="U55" s="702"/>
      <c r="V55" s="587" t="str">
        <f>IF(AND(code0&lt;&gt;"",'I2'!$AB$30&lt;&gt;""),'I2'!$AB$30,"")</f>
        <v/>
      </c>
      <c r="W55" s="1"/>
      <c r="X55" s="890" t="str">
        <f t="shared" si="3"/>
        <v/>
      </c>
      <c r="Y55" s="894" t="str">
        <f>IF(OR(AND(p_cycle_move=2,V55&lt;=$H55,p_trips=TRUE,$H55&lt;&gt;"",V55&lt;&gt;""),AND(p_cycle_move=1,V55&lt;$H55,p_trips=TRUE,$H55&lt;&gt;"",V55&lt;&gt;"")),1,"")</f>
        <v/>
      </c>
      <c r="Z55" s="702"/>
      <c r="AA55" s="587" t="str">
        <f>IF(AND(code0&lt;&gt;"",'I2'!$AI$30&lt;&gt;""),'I2'!$AI$30,"")</f>
        <v/>
      </c>
      <c r="AB55" s="1"/>
      <c r="AC55" s="890" t="str">
        <f t="shared" si="4"/>
        <v/>
      </c>
      <c r="AD55" s="894" t="str">
        <f>IF(OR(AND(p_cycle_move=2,AA55&lt;=$H55,p_trips=TRUE,$H55&lt;&gt;"",AA55&lt;&gt;""),AND(p_cycle_move=1,AA55&lt;$H55,p_trips=TRUE,$H55&lt;&gt;"",AA55&lt;&gt;"")),1,"")</f>
        <v/>
      </c>
      <c r="AE55" s="702"/>
      <c r="AF55" s="587" t="str">
        <f>IF(AND(code0&lt;&gt;"",'I2'!$AP$30&lt;&gt;""),'I2'!$AP$30,"")</f>
        <v/>
      </c>
      <c r="AG55" s="1"/>
      <c r="AH55" s="890" t="str">
        <f t="shared" si="5"/>
        <v/>
      </c>
      <c r="AI55" s="894" t="str">
        <f>IF(OR(AND(p_cycle_move=2,AF55&lt;=$H55,p_trips=TRUE,$H55&lt;&gt;"",AF55&lt;&gt;""),AND(p_cycle_move=1,AF55&lt;$H55,p_trips=TRUE,$H55&lt;&gt;"",AF55&lt;&gt;"")),1,"")</f>
        <v/>
      </c>
      <c r="AJ55" s="702"/>
      <c r="AK55" s="900">
        <f>MAX($H55,$L55,$Q55,$V55,$AA55,$AF55)</f>
        <v>0</v>
      </c>
      <c r="AL55" s="31"/>
      <c r="AM55" s="29"/>
      <c r="AN55" s="29"/>
      <c r="AO55" s="29"/>
      <c r="AP55" s="29"/>
    </row>
    <row r="56" spans="2:42" ht="15" customHeight="1">
      <c r="B56" s="33"/>
      <c r="C56" s="29"/>
      <c r="D56" s="47" t="s">
        <v>297</v>
      </c>
      <c r="F56" s="190" t="str">
        <f>F$48</f>
        <v/>
      </c>
      <c r="G56" s="190"/>
      <c r="H56" s="587" t="str">
        <f>IF(AND(code0&lt;&gt;"",'I2'!$H$30&lt;&gt;""),'I2'!$H$30,"")</f>
        <v/>
      </c>
      <c r="I56" s="1"/>
      <c r="J56" s="890" t="str">
        <f t="shared" si="0"/>
        <v/>
      </c>
      <c r="K56" s="702"/>
      <c r="L56" s="587" t="str">
        <f>IF(AND(code0&lt;&gt;"",'I2'!$O$30&lt;&gt;""),'I2'!$O$30,"")</f>
        <v/>
      </c>
      <c r="M56" s="1"/>
      <c r="N56" s="890" t="str">
        <f t="shared" si="1"/>
        <v/>
      </c>
      <c r="O56" s="894" t="str">
        <f>IF(OR(AND(p_cycle_move=2,L56&lt;=$H56,p_traveltime=TRUE,$H56&lt;&gt;"",L56&lt;&gt;""),AND(p_cycle_move=1,L56&lt;$H56,p_traveltime=TRUE,$H56&lt;&gt;"",L56&lt;&gt;"")),1,"")</f>
        <v/>
      </c>
      <c r="P56" s="702"/>
      <c r="Q56" s="587" t="str">
        <f>IF(AND(code0&lt;&gt;"",'I2'!$V$30&lt;&gt;""),'I2'!$V$30,"")</f>
        <v/>
      </c>
      <c r="R56" s="1"/>
      <c r="S56" s="890" t="str">
        <f t="shared" si="2"/>
        <v/>
      </c>
      <c r="T56" s="894" t="str">
        <f>IF(OR(AND(p_cycle_move=2,Q56&lt;=$H56,p_traveltime=TRUE,$H56&lt;&gt;"",Q56&lt;&gt;""),AND(p_cycle_move=1,Q56&lt;$H56,p_traveltime=TRUE,$H56&lt;&gt;"",Q56&lt;&gt;"")),1,"")</f>
        <v/>
      </c>
      <c r="U56" s="702"/>
      <c r="V56" s="587" t="str">
        <f>IF(AND(code0&lt;&gt;"",'I2'!$AC$30&lt;&gt;""),'I2'!$AC$30,"")</f>
        <v/>
      </c>
      <c r="W56" s="1"/>
      <c r="X56" s="890" t="str">
        <f t="shared" si="3"/>
        <v/>
      </c>
      <c r="Y56" s="894" t="str">
        <f>IF(OR(AND(p_cycle_move=2,V56&lt;=$H56,p_traveltime=TRUE,$H56&lt;&gt;"",V56&lt;&gt;""),AND(p_cycle_move=1,V56&lt;$H56,p_traveltime=TRUE,$H56&lt;&gt;"",V56&lt;&gt;"")),1,"")</f>
        <v/>
      </c>
      <c r="Z56" s="702"/>
      <c r="AA56" s="587" t="str">
        <f>IF(AND(code0&lt;&gt;"",'I2'!$AJ$30&lt;&gt;""),'I2'!$AJ$30,"")</f>
        <v/>
      </c>
      <c r="AB56" s="1"/>
      <c r="AC56" s="890" t="str">
        <f t="shared" si="4"/>
        <v/>
      </c>
      <c r="AD56" s="894" t="str">
        <f>IF(OR(AND(p_cycle_move=2,AA56&lt;=$H56,p_traveltime=TRUE,$H56&lt;&gt;"",AA56&lt;&gt;""),AND(p_cycle_move=1,AA56&lt;$H56,p_traveltime=TRUE,$H56&lt;&gt;"",AA56&lt;&gt;"")),1,"")</f>
        <v/>
      </c>
      <c r="AE56" s="702"/>
      <c r="AF56" s="587" t="str">
        <f>IF(AND(code0&lt;&gt;"",'I2'!$AQ$30&lt;&gt;""),'I2'!$AQ$30,"")</f>
        <v/>
      </c>
      <c r="AG56" s="1"/>
      <c r="AH56" s="890" t="str">
        <f t="shared" si="5"/>
        <v/>
      </c>
      <c r="AI56" s="894" t="str">
        <f>IF(OR(AND(p_cycle_move=2,AF56&lt;=$H56,p_traveltime=TRUE,$H56&lt;&gt;"",AF56&lt;&gt;""),AND(p_cycle_move=1,AF56&lt;$H56,p_traveltime=TRUE,$H56&lt;&gt;"",AF56&lt;&gt;"")),1,"")</f>
        <v/>
      </c>
      <c r="AJ56" s="702"/>
      <c r="AK56" s="900">
        <f>MAX($H56,$L56,$Q56,$V56,$AA56,$AF56)</f>
        <v>0</v>
      </c>
      <c r="AL56" s="31"/>
      <c r="AM56" s="29"/>
      <c r="AN56" s="29"/>
      <c r="AO56" s="29"/>
      <c r="AP56" s="29"/>
    </row>
    <row r="57" spans="2:42" ht="15" customHeight="1">
      <c r="B57" s="33"/>
      <c r="C57" s="29"/>
      <c r="D57" s="47" t="s">
        <v>296</v>
      </c>
      <c r="F57" s="190" t="str">
        <f>F$49</f>
        <v/>
      </c>
      <c r="G57" s="190"/>
      <c r="H57" s="587" t="str">
        <f>IF(AND(code0&lt;&gt;"",'I2'!$I$30&lt;&gt;""),'I2'!$I$30,"")</f>
        <v/>
      </c>
      <c r="I57" s="1"/>
      <c r="J57" s="890" t="str">
        <f t="shared" ref="J57:J60" si="12">IF(H57=$AK57,1,"")</f>
        <v/>
      </c>
      <c r="K57" s="702"/>
      <c r="L57" s="587" t="str">
        <f>IF(AND(code0&lt;&gt;"",'I2'!$P$30&lt;&gt;""),'I2'!$P$30,"")</f>
        <v/>
      </c>
      <c r="M57" s="1"/>
      <c r="N57" s="890" t="str">
        <f t="shared" ref="N57:N60" si="13">IF(L57=$AK57,1,"")</f>
        <v/>
      </c>
      <c r="O57" s="894" t="str">
        <f>IF(OR(AND(p_cycle_move=2,L57&lt;=$H57,p_traveltime=TRUE,$H57&lt;&gt;"",L57&lt;&gt;""),AND(p_cycle_move=1,L57&lt;$H57,p_traveltime=TRUE,$H57&lt;&gt;"",L57&lt;&gt;"")),1,"")</f>
        <v/>
      </c>
      <c r="P57" s="702"/>
      <c r="Q57" s="587" t="str">
        <f>IF(AND(code0&lt;&gt;"",'I2'!$W$30&lt;&gt;""),'I2'!$W$30,"")</f>
        <v/>
      </c>
      <c r="R57" s="1"/>
      <c r="S57" s="890" t="str">
        <f t="shared" ref="S57:S60" si="14">IF(Q57=$AK57,1,"")</f>
        <v/>
      </c>
      <c r="T57" s="894" t="str">
        <f>IF(OR(AND(p_cycle_move=2,Q57&lt;=$H57,p_traveltime=TRUE,$H57&lt;&gt;"",Q57&lt;&gt;""),AND(p_cycle_move=1,Q57&lt;$H57,p_traveltime=TRUE,$H57&lt;&gt;"",Q57&lt;&gt;"")),1,"")</f>
        <v/>
      </c>
      <c r="U57" s="702"/>
      <c r="V57" s="587" t="str">
        <f>IF(AND(code0&lt;&gt;"",'I2'!$AD$30&lt;&gt;""),'I2'!$AD$30,"")</f>
        <v/>
      </c>
      <c r="W57" s="1"/>
      <c r="X57" s="890" t="str">
        <f t="shared" ref="X57:X60" si="15">IF(V57=$AK57,1,"")</f>
        <v/>
      </c>
      <c r="Y57" s="894" t="str">
        <f>IF(OR(AND(p_cycle_move=2,V57&lt;=$H57,p_traveltime=TRUE,$H57&lt;&gt;"",V57&lt;&gt;""),AND(p_cycle_move=1,V57&lt;$H57,p_traveltime=TRUE,$H57&lt;&gt;"",V57&lt;&gt;"")),1,"")</f>
        <v/>
      </c>
      <c r="Z57" s="702"/>
      <c r="AA57" s="587" t="str">
        <f>IF(AND(code0&lt;&gt;"",'I2'!$AK$30&lt;&gt;""),'I2'!$AK$30,"")</f>
        <v/>
      </c>
      <c r="AB57" s="1"/>
      <c r="AC57" s="890" t="str">
        <f t="shared" ref="AC57:AC60" si="16">IF(AA57=$AK57,1,"")</f>
        <v/>
      </c>
      <c r="AD57" s="894" t="str">
        <f>IF(OR(AND(p_cycle_move=2,AA57&lt;=$H57,p_traveltime=TRUE,$H57&lt;&gt;"",AA57&lt;&gt;""),AND(p_cycle_move=1,AA57&lt;$H57,p_traveltime=TRUE,$H57&lt;&gt;"",AA57&lt;&gt;"")),1,"")</f>
        <v/>
      </c>
      <c r="AE57" s="702"/>
      <c r="AF57" s="587" t="str">
        <f>IF(AND(code0&lt;&gt;"",'I2'!$AR$30&lt;&gt;""),'I2'!$AR$30,"")</f>
        <v/>
      </c>
      <c r="AG57" s="1"/>
      <c r="AH57" s="890" t="str">
        <f t="shared" ref="AH57:AH60" si="17">IF(AF57=$AK57,1,"")</f>
        <v/>
      </c>
      <c r="AI57" s="894" t="str">
        <f>IF(OR(AND(p_cycle_move=2,AF57&lt;=$H57,p_traveltime=TRUE,$H57&lt;&gt;"",AF57&lt;&gt;""),AND(p_cycle_move=1,AF57&lt;$H57,p_traveltime=TRUE,$H57&lt;&gt;"",AF57&lt;&gt;"")),1,"")</f>
        <v/>
      </c>
      <c r="AJ57" s="702"/>
      <c r="AK57" s="900">
        <f>MIN($H57,$L57,$Q57,$V57,$AA57,$AF57)</f>
        <v>0</v>
      </c>
      <c r="AL57" s="31"/>
      <c r="AM57" s="29"/>
      <c r="AN57" s="29"/>
      <c r="AO57" s="29"/>
      <c r="AP57" s="29"/>
    </row>
    <row r="58" spans="2:42" ht="15" customHeight="1">
      <c r="B58" s="33"/>
      <c r="C58" s="29"/>
      <c r="D58" s="47" t="s">
        <v>19</v>
      </c>
      <c r="F58" s="190" t="str">
        <f>F$50</f>
        <v/>
      </c>
      <c r="G58" s="190"/>
      <c r="H58" s="587" t="str">
        <f>IF(AND(code0&lt;&gt;"",'I2'!$J$30&lt;&gt;""),'I2'!$J$30,"")</f>
        <v/>
      </c>
      <c r="I58" s="1"/>
      <c r="J58" s="890" t="str">
        <f t="shared" si="12"/>
        <v/>
      </c>
      <c r="K58" s="702"/>
      <c r="L58" s="587" t="str">
        <f>IF(AND(code0&lt;&gt;"",'I2'!$Q$30&lt;&gt;""),'I2'!$Q$30,"")</f>
        <v/>
      </c>
      <c r="M58" s="1"/>
      <c r="N58" s="890" t="str">
        <f t="shared" si="13"/>
        <v/>
      </c>
      <c r="O58" s="894" t="str">
        <f>IF(OR(AND(p_cycle_move=2,L58&lt;=$H58,p_traveltime=TRUE,$H58&lt;&gt;"",L58&lt;&gt;""),AND(p_cycle_move=1,L58&lt;$H58,p_traveltime=TRUE,$H58&lt;&gt;"",L58&lt;&gt;"")),1,"")</f>
        <v/>
      </c>
      <c r="P58" s="702"/>
      <c r="Q58" s="587" t="str">
        <f>IF(AND(code0&lt;&gt;"",'I2'!$X$30&lt;&gt;""),'I2'!$X$30,"")</f>
        <v/>
      </c>
      <c r="R58" s="1"/>
      <c r="S58" s="890" t="str">
        <f t="shared" si="14"/>
        <v/>
      </c>
      <c r="T58" s="894" t="str">
        <f>IF(OR(AND(p_cycle_move=2,Q58&lt;=$H58,p_traveltime=TRUE,$H58&lt;&gt;"",Q58&lt;&gt;""),AND(p_cycle_move=1,Q58&lt;$H58,p_traveltime=TRUE,$H58&lt;&gt;"",Q58&lt;&gt;"")),1,"")</f>
        <v/>
      </c>
      <c r="U58" s="702"/>
      <c r="V58" s="587" t="str">
        <f>IF(AND(code0&lt;&gt;"",'I2'!$AE$30&lt;&gt;""),'I2'!$AE$30,"")</f>
        <v/>
      </c>
      <c r="W58" s="1"/>
      <c r="X58" s="890" t="str">
        <f t="shared" si="15"/>
        <v/>
      </c>
      <c r="Y58" s="894" t="str">
        <f>IF(OR(AND(p_cycle_move=2,V58&lt;=$H58,p_traveltime=TRUE,$H58&lt;&gt;"",V58&lt;&gt;""),AND(p_cycle_move=1,V58&lt;$H58,p_traveltime=TRUE,$H58&lt;&gt;"",V58&lt;&gt;"")),1,"")</f>
        <v/>
      </c>
      <c r="Z58" s="702"/>
      <c r="AA58" s="587" t="str">
        <f>IF(AND(code0&lt;&gt;"",'I2'!$AL$30&lt;&gt;""),'I2'!$AL$30,"")</f>
        <v/>
      </c>
      <c r="AB58" s="1"/>
      <c r="AC58" s="890" t="str">
        <f t="shared" si="16"/>
        <v/>
      </c>
      <c r="AD58" s="894" t="str">
        <f>IF(OR(AND(p_cycle_move=2,AA58&lt;=$H58,p_traveltime=TRUE,$H58&lt;&gt;"",AA58&lt;&gt;""),AND(p_cycle_move=1,AA58&lt;$H58,p_traveltime=TRUE,$H58&lt;&gt;"",AA58&lt;&gt;"")),1,"")</f>
        <v/>
      </c>
      <c r="AE58" s="702"/>
      <c r="AF58" s="587" t="str">
        <f>IF(AND(code0&lt;&gt;"",'I2'!$AS$30&lt;&gt;""),'I2'!$AS$30,"")</f>
        <v/>
      </c>
      <c r="AG58" s="1"/>
      <c r="AH58" s="890" t="str">
        <f t="shared" si="17"/>
        <v/>
      </c>
      <c r="AI58" s="894" t="str">
        <f>IF(OR(AND(p_cycle_move=2,AF58&lt;=$H58,p_traveltime=TRUE,$H58&lt;&gt;"",AF58&lt;&gt;""),AND(p_cycle_move=1,AF58&lt;$H58,p_traveltime=TRUE,$H58&lt;&gt;"",AF58&lt;&gt;"")),1,"")</f>
        <v/>
      </c>
      <c r="AJ58" s="702"/>
      <c r="AK58" s="900">
        <f>MIN($H58,$L58,$Q58,$V58,$AA58,$AF58)</f>
        <v>0</v>
      </c>
      <c r="AL58" s="31"/>
      <c r="AM58" s="29"/>
      <c r="AN58" s="29"/>
      <c r="AO58" s="29"/>
      <c r="AP58" s="29"/>
    </row>
    <row r="59" spans="2:42" ht="15" customHeight="1">
      <c r="B59" s="33"/>
      <c r="C59" s="29"/>
      <c r="D59" s="47" t="s">
        <v>16</v>
      </c>
      <c r="F59" s="190" t="str">
        <f>F$51</f>
        <v/>
      </c>
      <c r="G59" s="190"/>
      <c r="H59" s="587" t="str">
        <f>IF(AND(code0&lt;&gt;"",'I2'!$K$30&lt;&gt;""),'I2'!$K$30,"")</f>
        <v/>
      </c>
      <c r="I59" s="1"/>
      <c r="J59" s="890" t="str">
        <f t="shared" si="12"/>
        <v/>
      </c>
      <c r="K59" s="702"/>
      <c r="L59" s="587" t="str">
        <f>IF(AND(code0&lt;&gt;"",'I2'!$R$30&lt;&gt;""),'I2'!$R$30,"")</f>
        <v/>
      </c>
      <c r="M59" s="1"/>
      <c r="N59" s="890" t="str">
        <f t="shared" si="13"/>
        <v/>
      </c>
      <c r="O59" s="894" t="str">
        <f>IF(OR(AND(p_cycle_move=2,L59&lt;=$H59,p_reliability=TRUE,$H59&lt;&gt;"",L59&lt;&gt;""),AND(p_cycle_move=1,L59&lt;$H59,p_reliability=TRUE,$H59&lt;&gt;"",L59&lt;&gt;"")),1,"")</f>
        <v/>
      </c>
      <c r="P59" s="702"/>
      <c r="Q59" s="587" t="str">
        <f>IF(AND(code0&lt;&gt;"",'I2'!$Y$30&lt;&gt;""),'I2'!$Y$30,"")</f>
        <v/>
      </c>
      <c r="R59" s="1"/>
      <c r="S59" s="890" t="str">
        <f t="shared" si="14"/>
        <v/>
      </c>
      <c r="T59" s="894" t="str">
        <f>IF(OR(AND(p_cycle_move=2,Q59&lt;=$H59,p_reliability=TRUE,$H59&lt;&gt;"",Q59&lt;&gt;""),AND(p_cycle_move=1,Q59&lt;$H59,p_reliability=TRUE,$H59&lt;&gt;"",Q59&lt;&gt;"")),1,"")</f>
        <v/>
      </c>
      <c r="U59" s="702"/>
      <c r="V59" s="587" t="str">
        <f>IF(AND(code0&lt;&gt;"",'I2'!$AF$30&lt;&gt;""),'I2'!$AF$30,"")</f>
        <v/>
      </c>
      <c r="W59" s="1"/>
      <c r="X59" s="890" t="str">
        <f t="shared" si="15"/>
        <v/>
      </c>
      <c r="Y59" s="894" t="str">
        <f>IF(OR(AND(p_cycle_move=2,V59&lt;=$H59,p_reliability=TRUE,$H59&lt;&gt;"",V59&lt;&gt;""),AND(p_cycle_move=1,V59&lt;$H59,p_reliability=TRUE,$H59&lt;&gt;"",V59&lt;&gt;"")),1,"")</f>
        <v/>
      </c>
      <c r="Z59" s="702"/>
      <c r="AA59" s="587" t="str">
        <f>IF(AND(code0&lt;&gt;"",'I2'!$AM$30&lt;&gt;""),'I2'!$AM$30,"")</f>
        <v/>
      </c>
      <c r="AB59" s="1"/>
      <c r="AC59" s="890" t="str">
        <f t="shared" si="16"/>
        <v/>
      </c>
      <c r="AD59" s="894" t="str">
        <f>IF(OR(AND(p_cycle_move=2,AA59&lt;=$H59,p_reliability=TRUE,$H59&lt;&gt;"",AA59&lt;&gt;""),AND(p_cycle_move=1,AA59&lt;$H59,p_reliability=TRUE,$H59&lt;&gt;"",AA59&lt;&gt;"")),1,"")</f>
        <v/>
      </c>
      <c r="AE59" s="702"/>
      <c r="AF59" s="587" t="str">
        <f>IF(AND(code0&lt;&gt;"",'I2'!$AT$30&lt;&gt;""),'I2'!$AT$30,"")</f>
        <v/>
      </c>
      <c r="AG59" s="1"/>
      <c r="AH59" s="890" t="str">
        <f t="shared" si="17"/>
        <v/>
      </c>
      <c r="AI59" s="894" t="str">
        <f>IF(OR(AND(p_cycle_move=2,AF59&lt;=$H59,p_reliability=TRUE,$H59&lt;&gt;"",AF59&lt;&gt;""),AND(p_cycle_move=1,AF59&lt;$H59,p_reliability=TRUE,$H59&lt;&gt;"",AF59&lt;&gt;"")),1,"")</f>
        <v/>
      </c>
      <c r="AJ59" s="702"/>
      <c r="AK59" s="900">
        <f>MIN($H59,$L59,$Q59,$V59,$AA59,$AF59)</f>
        <v>0</v>
      </c>
      <c r="AL59" s="31"/>
      <c r="AM59" s="29"/>
      <c r="AN59" s="29"/>
      <c r="AO59" s="29"/>
      <c r="AP59" s="29"/>
    </row>
    <row r="60" spans="2:42" ht="15" customHeight="1">
      <c r="B60" s="33"/>
      <c r="C60" s="59"/>
      <c r="D60" s="85" t="s">
        <v>18</v>
      </c>
      <c r="E60" s="59"/>
      <c r="F60" s="294" t="str">
        <f>F$52</f>
        <v/>
      </c>
      <c r="G60" s="190"/>
      <c r="H60" s="916" t="str">
        <f>IF(AND(code0&lt;&gt;"",'I2'!$L$30&lt;&gt;""),'I2'!$L$30,"")</f>
        <v/>
      </c>
      <c r="I60" s="1"/>
      <c r="J60" s="892" t="str">
        <f t="shared" si="12"/>
        <v/>
      </c>
      <c r="K60" s="703"/>
      <c r="L60" s="590" t="str">
        <f>IF(AND(code0&lt;&gt;"",'I2'!$S$30&lt;&gt;""),'I2'!$S$30,"")</f>
        <v/>
      </c>
      <c r="M60" s="1"/>
      <c r="N60" s="892" t="str">
        <f t="shared" si="13"/>
        <v/>
      </c>
      <c r="O60" s="895" t="str">
        <f>IF(OR(AND(p_cycle_move=2,L60&gt;=$H60,p_tripquality=TRUE,$H60&lt;&gt;"",L60&lt;&gt;""),AND(p_cycle_move=1,L60&gt;$H60,p_tripquality=TRUE,$H60&lt;&gt;"",L60&lt;&gt;"")),1,"")</f>
        <v/>
      </c>
      <c r="P60" s="703"/>
      <c r="Q60" s="589" t="str">
        <f>IF(AND(code0&lt;&gt;"",'I2'!$Z$30&lt;&gt;""),'I2'!$Z$30,"")</f>
        <v/>
      </c>
      <c r="R60" s="1"/>
      <c r="S60" s="892" t="str">
        <f t="shared" si="14"/>
        <v/>
      </c>
      <c r="T60" s="895" t="str">
        <f>IF(OR(AND(p_cycle_move=2,Q60&gt;=$H60,p_tripquality=TRUE,$H60&lt;&gt;"",Q60&lt;&gt;""),AND(p_cycle_move=1,Q60&gt;$H60,p_tripquality=TRUE,$H60&lt;&gt;"",Q60&lt;&gt;"")),1,"")</f>
        <v/>
      </c>
      <c r="U60" s="703"/>
      <c r="V60" s="589" t="str">
        <f>IF(AND(code0&lt;&gt;"",'I2'!$AG$30&lt;&gt;""),'I2'!$AG$30,"")</f>
        <v/>
      </c>
      <c r="W60" s="1"/>
      <c r="X60" s="892" t="str">
        <f t="shared" si="15"/>
        <v/>
      </c>
      <c r="Y60" s="895" t="str">
        <f>IF(OR(AND(p_cycle_move=2,V60&gt;=$H60,p_tripquality=TRUE,$H60&lt;&gt;"",V60&lt;&gt;""),AND(p_cycle_move=1,V60&gt;$H60,p_tripquality=TRUE,$H60&lt;&gt;"",V60&lt;&gt;"")),1,"")</f>
        <v/>
      </c>
      <c r="Z60" s="703"/>
      <c r="AA60" s="589" t="str">
        <f>IF(AND(code0&lt;&gt;"",'I2'!$AN$30&lt;&gt;""),'I2'!$AN$30,"")</f>
        <v/>
      </c>
      <c r="AB60" s="1"/>
      <c r="AC60" s="892" t="str">
        <f t="shared" si="16"/>
        <v/>
      </c>
      <c r="AD60" s="895" t="str">
        <f>IF(OR(AND(p_cycle_move=2,AA60&gt;=$H60,p_tripquality=TRUE,$H60&lt;&gt;"",AA60&lt;&gt;""),AND(p_cycle_move=1,AA60&gt;$H60,p_tripquality=TRUE,$H60&lt;&gt;"",AA60&lt;&gt;"")),1,"")</f>
        <v/>
      </c>
      <c r="AE60" s="703"/>
      <c r="AF60" s="589" t="str">
        <f>IF(AND(code0&lt;&gt;"",'I2'!$AU$30&lt;&gt;""),'I2'!$AU$30,"")</f>
        <v/>
      </c>
      <c r="AG60" s="1"/>
      <c r="AH60" s="890" t="str">
        <f t="shared" si="17"/>
        <v/>
      </c>
      <c r="AI60" s="894" t="str">
        <f>IF(OR(AND(p_cycle_move=2,AF60&gt;=$H60,p_tripquality=TRUE,$H60&lt;&gt;"",AF60&lt;&gt;""),AND(p_cycle_move=1,AF60&gt;$H60,p_tripquality=TRUE,$H60&lt;&gt;"",AF60&lt;&gt;"")),1,"")</f>
        <v/>
      </c>
      <c r="AJ60" s="702"/>
      <c r="AK60" s="900">
        <f>MIN($H60,$L60,$Q60,$V60,$AA60,$AF60)</f>
        <v>0</v>
      </c>
      <c r="AL60" s="31"/>
      <c r="AM60" s="29"/>
      <c r="AN60" s="29"/>
      <c r="AO60" s="29"/>
      <c r="AP60" s="29"/>
    </row>
    <row r="61" spans="2:42" ht="15" customHeight="1">
      <c r="B61" s="33"/>
      <c r="C61" s="49" t="s">
        <v>255</v>
      </c>
      <c r="D61" s="47"/>
      <c r="F61" s="748"/>
      <c r="G61" s="748"/>
      <c r="H61" s="748"/>
      <c r="I61" s="1"/>
      <c r="J61" s="610"/>
      <c r="K61" s="704"/>
      <c r="L61" s="748"/>
      <c r="M61" s="1"/>
      <c r="N61" s="610"/>
      <c r="O61" s="711"/>
      <c r="P61" s="704"/>
      <c r="Q61" s="748"/>
      <c r="R61" s="1"/>
      <c r="S61" s="610"/>
      <c r="T61" s="711"/>
      <c r="U61" s="704"/>
      <c r="V61" s="748"/>
      <c r="W61" s="1"/>
      <c r="X61" s="610"/>
      <c r="Y61" s="711"/>
      <c r="Z61" s="704"/>
      <c r="AA61" s="748"/>
      <c r="AB61" s="1"/>
      <c r="AC61" s="610"/>
      <c r="AD61" s="711"/>
      <c r="AE61" s="704"/>
      <c r="AF61" s="748"/>
      <c r="AG61" s="1"/>
      <c r="AH61" s="610"/>
      <c r="AI61" s="711"/>
      <c r="AJ61" s="704"/>
      <c r="AK61" s="704"/>
      <c r="AL61" s="31"/>
      <c r="AM61" s="29"/>
      <c r="AN61" s="29"/>
      <c r="AO61" s="29"/>
      <c r="AP61" s="29"/>
    </row>
    <row r="62" spans="2:42" ht="15" customHeight="1">
      <c r="B62" s="33"/>
      <c r="C62" s="29"/>
      <c r="D62" s="47" t="s">
        <v>258</v>
      </c>
      <c r="F62" s="182" t="s">
        <v>513</v>
      </c>
      <c r="G62" s="182"/>
      <c r="H62" s="587" t="str">
        <f>IF(code0="","",IF('I1'!F77="Dedicatedlane","Yes","No"))</f>
        <v/>
      </c>
      <c r="I62" s="1"/>
      <c r="J62" s="890" t="str">
        <f t="shared" si="0"/>
        <v/>
      </c>
      <c r="K62" s="891" t="str">
        <f>IF(H62=0,1,"")</f>
        <v/>
      </c>
      <c r="L62" s="587" t="str">
        <f>IF(code1="","",IF('I1'!H77="Dedicatedlane","Yes","No"))</f>
        <v/>
      </c>
      <c r="M62" s="1"/>
      <c r="N62" s="890" t="str">
        <f t="shared" si="1"/>
        <v/>
      </c>
      <c r="O62" s="894" t="str">
        <f>IF(OR(AND(p_micro=2,L62&lt;=$H62,p_tripquality=TRUE,$H62&lt;&gt;"",L62&lt;&gt;""),AND(p_micro=1,L62&lt;$H62,p_tripquality=TRUE,$H62&lt;&gt;"",L62&lt;&gt;"")),1,"")</f>
        <v/>
      </c>
      <c r="P62" s="891" t="str">
        <f>IF(L62=0,1,"")</f>
        <v/>
      </c>
      <c r="Q62" s="587" t="str">
        <f>IF(code2="","",IF('I1'!J77="Dedicatedlane","Yes","No"))</f>
        <v/>
      </c>
      <c r="R62" s="1"/>
      <c r="S62" s="890" t="str">
        <f t="shared" si="2"/>
        <v/>
      </c>
      <c r="T62" s="894" t="str">
        <f>IF(OR(AND(p_micro=2,Q62&lt;=$H62,p_tripquality=TRUE,$H62&lt;&gt;"",Q62&lt;&gt;""),AND(p_micro=1,Q62&lt;$H62,p_tripquality=TRUE,$H62&lt;&gt;"",Q62&lt;&gt;"")),1,"")</f>
        <v/>
      </c>
      <c r="U62" s="891" t="str">
        <f>IF(Q62=0,1,"")</f>
        <v/>
      </c>
      <c r="V62" s="587" t="str">
        <f>IF(code3="","",IF('I1'!L77="Dedicatedlane","Yes","No"))</f>
        <v/>
      </c>
      <c r="W62" s="1"/>
      <c r="X62" s="890" t="str">
        <f t="shared" si="3"/>
        <v/>
      </c>
      <c r="Y62" s="894" t="str">
        <f>IF(OR(AND(p_micro=2,V62&lt;=$H62,p_tripquality=TRUE,$H62&lt;&gt;"",V62&lt;&gt;""),AND(p_micro=1,V62&lt;$H62,p_tripquality=TRUE,$H62&lt;&gt;"",V62&lt;&gt;"")),1,"")</f>
        <v/>
      </c>
      <c r="Z62" s="891" t="str">
        <f>IF(V62=0,1,"")</f>
        <v/>
      </c>
      <c r="AA62" s="587" t="str">
        <f>IF(code4="","",IF('I1'!N77="Dedicatedlane","Yes","No"))</f>
        <v/>
      </c>
      <c r="AB62" s="1"/>
      <c r="AC62" s="890" t="str">
        <f t="shared" si="4"/>
        <v/>
      </c>
      <c r="AD62" s="894" t="str">
        <f>IF(OR(AND(p_micro=2,AA62&lt;=$H62,p_tripquality=TRUE,$H62&lt;&gt;"",AA62&lt;&gt;""),AND(p_micro=1,AA62&lt;$H62,p_tripquality=TRUE,$H62&lt;&gt;"",AA62&lt;&gt;"")),1,"")</f>
        <v/>
      </c>
      <c r="AE62" s="891" t="str">
        <f>IF(AA62=0,1,"")</f>
        <v/>
      </c>
      <c r="AF62" s="587" t="str">
        <f>IF(code5="","",IF('I1'!P77="Dedicatedlane","Yes","No"))</f>
        <v/>
      </c>
      <c r="AG62" s="1"/>
      <c r="AH62" s="890" t="str">
        <f t="shared" si="5"/>
        <v/>
      </c>
      <c r="AI62" s="894" t="str">
        <f>IF(OR(AND(p_micro=2,AF62&lt;=$H62,p_tripquality=TRUE,$H62&lt;&gt;"",AF62&lt;&gt;""),AND(p_micro=1,AF62&lt;$H62,p_tripquality=TRUE,$H62&lt;&gt;"",AF62&lt;&gt;"")),1,"")</f>
        <v/>
      </c>
      <c r="AJ62" s="891" t="str">
        <f>IF(AF62=0,1,"")</f>
        <v/>
      </c>
      <c r="AK62" s="900">
        <f>MAX($H62,$L62,$Q62,$V62,$AA62,$AF62)</f>
        <v>0</v>
      </c>
      <c r="AL62" s="31"/>
      <c r="AM62" s="29"/>
      <c r="AN62" s="29"/>
      <c r="AO62" s="29"/>
      <c r="AP62" s="29"/>
    </row>
    <row r="63" spans="2:42" ht="15" customHeight="1">
      <c r="B63" s="33"/>
      <c r="C63" s="29"/>
      <c r="D63" s="47" t="s">
        <v>15</v>
      </c>
      <c r="F63" s="190" t="str">
        <f>F$47</f>
        <v/>
      </c>
      <c r="G63" s="190"/>
      <c r="H63" s="587" t="str">
        <f>IF(AND(code0&lt;&gt;"",'I2'!$G$31&lt;&gt;""),'I2'!$G$31,"")</f>
        <v/>
      </c>
      <c r="I63" s="1"/>
      <c r="J63" s="890" t="str">
        <f t="shared" si="0"/>
        <v/>
      </c>
      <c r="K63" s="702"/>
      <c r="L63" s="587" t="str">
        <f>IF(AND(code0&lt;&gt;"",'I2'!$N$31&lt;&gt;""),'I2'!$N$31,"")</f>
        <v/>
      </c>
      <c r="M63" s="1"/>
      <c r="N63" s="890" t="str">
        <f t="shared" si="1"/>
        <v/>
      </c>
      <c r="O63" s="894" t="str">
        <f>IF(OR(AND(p_micro=2,L63&lt;=$H63,p_trips=TRUE,$H63&lt;&gt;"",L63&lt;&gt;""),AND(p_micro=1,L63&lt;$H63,p_trips=TRUE,$H63&lt;&gt;"",L63&lt;&gt;"")),1,"")</f>
        <v/>
      </c>
      <c r="P63" s="702"/>
      <c r="Q63" s="587" t="str">
        <f>IF(AND(code0&lt;&gt;"",'I2'!$U$31&lt;&gt;""),'I2'!$U$31,"")</f>
        <v/>
      </c>
      <c r="R63" s="1"/>
      <c r="S63" s="890" t="str">
        <f t="shared" si="2"/>
        <v/>
      </c>
      <c r="T63" s="894" t="str">
        <f>IF(OR(AND(p_micro=2,Q63&lt;=$H63,p_trips=TRUE,$H63&lt;&gt;"",Q63&lt;&gt;""),AND(p_micro=1,Q63&lt;$H63,p_trips=TRUE,$H63&lt;&gt;"",Q63&lt;&gt;"")),1,"")</f>
        <v/>
      </c>
      <c r="U63" s="702"/>
      <c r="V63" s="587" t="str">
        <f>IF(AND(code0&lt;&gt;"",'I2'!$AB$31&lt;&gt;""),'I2'!$AB$31,"")</f>
        <v/>
      </c>
      <c r="W63" s="1"/>
      <c r="X63" s="890" t="str">
        <f t="shared" si="3"/>
        <v/>
      </c>
      <c r="Y63" s="894" t="str">
        <f>IF(OR(AND(p_micro=2,V63&lt;=$H63,p_trips=TRUE,$H63&lt;&gt;"",V63&lt;&gt;""),AND(p_micro=1,V63&lt;$H63,p_trips=TRUE,$H63&lt;&gt;"",V63&lt;&gt;"")),1,"")</f>
        <v/>
      </c>
      <c r="Z63" s="702"/>
      <c r="AA63" s="587" t="str">
        <f>IF(AND(code0&lt;&gt;"",'I2'!$AI$31&lt;&gt;""),'I2'!$AI$31,"")</f>
        <v/>
      </c>
      <c r="AB63" s="1"/>
      <c r="AC63" s="890" t="str">
        <f t="shared" si="4"/>
        <v/>
      </c>
      <c r="AD63" s="894" t="str">
        <f>IF(OR(AND(p_micro=2,AA63&lt;=$H63,p_trips=TRUE,$H63&lt;&gt;"",AA63&lt;&gt;""),AND(p_micro=1,AA63&lt;$H63,p_trips=TRUE,$H63&lt;&gt;"",AA63&lt;&gt;"")),1,"")</f>
        <v/>
      </c>
      <c r="AE63" s="702"/>
      <c r="AF63" s="587" t="str">
        <f>IF(AND(code0&lt;&gt;"",'I2'!$AP$31&lt;&gt;""),'I2'!$AP$31,"")</f>
        <v/>
      </c>
      <c r="AG63" s="1"/>
      <c r="AH63" s="890" t="str">
        <f t="shared" si="5"/>
        <v/>
      </c>
      <c r="AI63" s="894" t="str">
        <f>IF(OR(AND(p_micro=2,AF63&lt;=$H63,p_trips=TRUE,$H63&lt;&gt;"",AF63&lt;&gt;""),AND(p_micro=1,AF63&lt;$H63,p_trips=TRUE,$H63&lt;&gt;"",AF63&lt;&gt;"")),1,"")</f>
        <v/>
      </c>
      <c r="AJ63" s="702"/>
      <c r="AK63" s="900">
        <f>MAX($H63,$L63,$Q63,$V63,$AA63,$AF63)</f>
        <v>0</v>
      </c>
      <c r="AL63" s="31"/>
      <c r="AM63" s="29"/>
      <c r="AN63" s="29"/>
      <c r="AO63" s="29"/>
      <c r="AP63" s="29"/>
    </row>
    <row r="64" spans="2:42" ht="15" customHeight="1">
      <c r="B64" s="33"/>
      <c r="C64" s="29"/>
      <c r="D64" s="47" t="s">
        <v>297</v>
      </c>
      <c r="F64" s="190" t="str">
        <f>F$48</f>
        <v/>
      </c>
      <c r="G64" s="190"/>
      <c r="H64" s="587" t="str">
        <f>IF(AND(code0&lt;&gt;"",'I2'!$H$31&lt;&gt;""),'I2'!$H$31,"")</f>
        <v/>
      </c>
      <c r="I64" s="1"/>
      <c r="J64" s="890" t="str">
        <f t="shared" si="0"/>
        <v/>
      </c>
      <c r="K64" s="702"/>
      <c r="L64" s="587" t="str">
        <f>IF(AND(code0&lt;&gt;"",'I2'!$O$31&lt;&gt;""),'I2'!$O$31,"")</f>
        <v/>
      </c>
      <c r="M64" s="1"/>
      <c r="N64" s="890" t="str">
        <f t="shared" si="1"/>
        <v/>
      </c>
      <c r="O64" s="894" t="str">
        <f>IF(OR(AND(p_micro=2,L64&lt;=$H64,p_traveltime=TRUE,$H64&lt;&gt;"",L64&lt;&gt;""),AND(p_micro=1,L64&lt;$H64,p_traveltime=TRUE,$H64&lt;&gt;"",L64&lt;&gt;"")),1,"")</f>
        <v/>
      </c>
      <c r="P64" s="702"/>
      <c r="Q64" s="587" t="str">
        <f>IF(AND(code0&lt;&gt;"",'I2'!$V$31&lt;&gt;""),'I2'!$V$31,"")</f>
        <v/>
      </c>
      <c r="R64" s="1"/>
      <c r="S64" s="890" t="str">
        <f t="shared" si="2"/>
        <v/>
      </c>
      <c r="T64" s="894" t="str">
        <f>IF(OR(AND(p_micro=2,Q64&lt;=$H64,p_traveltime=TRUE,$H64&lt;&gt;"",Q64&lt;&gt;""),AND(p_micro=1,Q64&lt;$H64,p_traveltime=TRUE,$H64&lt;&gt;"",Q64&lt;&gt;"")),1,"")</f>
        <v/>
      </c>
      <c r="U64" s="702"/>
      <c r="V64" s="587" t="str">
        <f>IF(AND(code0&lt;&gt;"",'I2'!$AC$31&lt;&gt;""),'I2'!$AC$31,"")</f>
        <v/>
      </c>
      <c r="W64" s="1"/>
      <c r="X64" s="890" t="str">
        <f t="shared" si="3"/>
        <v/>
      </c>
      <c r="Y64" s="894" t="str">
        <f>IF(OR(AND(p_micro=2,V64&lt;=$H64,p_traveltime=TRUE,$H64&lt;&gt;"",V64&lt;&gt;""),AND(p_micro=1,V64&lt;$H64,p_traveltime=TRUE,$H64&lt;&gt;"",V64&lt;&gt;"")),1,"")</f>
        <v/>
      </c>
      <c r="Z64" s="702"/>
      <c r="AA64" s="587" t="str">
        <f>IF(AND(code0&lt;&gt;"",'I2'!$AJ$31&lt;&gt;""),'I2'!$AJ$31,"")</f>
        <v/>
      </c>
      <c r="AB64" s="1"/>
      <c r="AC64" s="890" t="str">
        <f t="shared" si="4"/>
        <v/>
      </c>
      <c r="AD64" s="894" t="str">
        <f>IF(OR(AND(p_micro=2,AA64&lt;=$H64,p_traveltime=TRUE,$H64&lt;&gt;"",AA64&lt;&gt;""),AND(p_micro=1,AA64&lt;$H64,p_traveltime=TRUE,$H64&lt;&gt;"",AA64&lt;&gt;"")),1,"")</f>
        <v/>
      </c>
      <c r="AE64" s="702"/>
      <c r="AF64" s="587" t="str">
        <f>IF(AND(code0&lt;&gt;"",'I2'!$AQ$31&lt;&gt;""),'I2'!$AQ$31,"")</f>
        <v/>
      </c>
      <c r="AG64" s="1"/>
      <c r="AH64" s="890" t="str">
        <f t="shared" si="5"/>
        <v/>
      </c>
      <c r="AI64" s="894" t="str">
        <f>IF(OR(AND(p_micro=2,AF64&lt;=$H64,p_traveltime=TRUE,$H64&lt;&gt;"",AF64&lt;&gt;""),AND(p_micro=1,AF64&lt;$H64,p_traveltime=TRUE,$H64&lt;&gt;"",AF64&lt;&gt;"")),1,"")</f>
        <v/>
      </c>
      <c r="AJ64" s="702"/>
      <c r="AK64" s="900">
        <f>MAX($H64,$L64,$Q64,$V64,$AA64,$AF64)</f>
        <v>0</v>
      </c>
      <c r="AL64" s="31"/>
      <c r="AM64" s="29"/>
      <c r="AN64" s="29"/>
      <c r="AO64" s="29"/>
      <c r="AP64" s="29"/>
    </row>
    <row r="65" spans="2:42" ht="15" customHeight="1">
      <c r="B65" s="33"/>
      <c r="C65" s="29"/>
      <c r="D65" s="47" t="s">
        <v>296</v>
      </c>
      <c r="F65" s="190" t="str">
        <f>F$49</f>
        <v/>
      </c>
      <c r="G65" s="190"/>
      <c r="H65" s="587" t="str">
        <f>IF(AND(code0&lt;&gt;"",'I2'!$I$31&lt;&gt;""),'I2'!$I$31,"")</f>
        <v/>
      </c>
      <c r="I65" s="1"/>
      <c r="J65" s="890" t="str">
        <f t="shared" ref="J65:J68" si="18">IF(H65=$AK65,1,"")</f>
        <v/>
      </c>
      <c r="K65" s="702"/>
      <c r="L65" s="587" t="str">
        <f>IF(AND(code0&lt;&gt;"",'I2'!$P$31&lt;&gt;""),'I2'!$P$31,"")</f>
        <v/>
      </c>
      <c r="M65" s="1"/>
      <c r="N65" s="890" t="str">
        <f t="shared" ref="N65:N68" si="19">IF(L65=$AK65,1,"")</f>
        <v/>
      </c>
      <c r="O65" s="894" t="str">
        <f>IF(OR(AND(p_micro=2,L65&lt;=$H65,p_traveltime=TRUE,$H65&lt;&gt;"",L65&lt;&gt;""),AND(p_micro=1,L65&lt;$H65,p_traveltime=TRUE,$H65&lt;&gt;"",L65&lt;&gt;"")),1,"")</f>
        <v/>
      </c>
      <c r="P65" s="702"/>
      <c r="Q65" s="587" t="str">
        <f>IF(AND(code0&lt;&gt;"",'I2'!$W$31&lt;&gt;""),'I2'!$W$31,"")</f>
        <v/>
      </c>
      <c r="R65" s="1"/>
      <c r="S65" s="890" t="str">
        <f t="shared" ref="S65:S68" si="20">IF(Q65=$AK65,1,"")</f>
        <v/>
      </c>
      <c r="T65" s="894" t="str">
        <f>IF(OR(AND(p_micro=2,Q65&lt;=$H65,p_traveltime=TRUE,$H65&lt;&gt;"",Q65&lt;&gt;""),AND(p_micro=1,Q65&lt;$H65,p_traveltime=TRUE,$H65&lt;&gt;"",Q65&lt;&gt;"")),1,"")</f>
        <v/>
      </c>
      <c r="U65" s="702"/>
      <c r="V65" s="587" t="str">
        <f>IF(AND(code0&lt;&gt;"",'I2'!$AD$31&lt;&gt;""),'I2'!$AD$31,"")</f>
        <v/>
      </c>
      <c r="W65" s="1"/>
      <c r="X65" s="890" t="str">
        <f t="shared" ref="X65:X68" si="21">IF(V65=$AK65,1,"")</f>
        <v/>
      </c>
      <c r="Y65" s="894" t="str">
        <f>IF(OR(AND(p_micro=2,V65&lt;=$H65,p_traveltime=TRUE,$H65&lt;&gt;"",V65&lt;&gt;""),AND(p_micro=1,V65&lt;$H65,p_traveltime=TRUE,$H65&lt;&gt;"",V65&lt;&gt;"")),1,"")</f>
        <v/>
      </c>
      <c r="Z65" s="702"/>
      <c r="AA65" s="587" t="str">
        <f>IF(AND(code0&lt;&gt;"",'I2'!$AK$31&lt;&gt;""),'I2'!$AK$31,"")</f>
        <v/>
      </c>
      <c r="AB65" s="1"/>
      <c r="AC65" s="890" t="str">
        <f t="shared" ref="AC65:AC68" si="22">IF(AA65=$AK65,1,"")</f>
        <v/>
      </c>
      <c r="AD65" s="894" t="str">
        <f>IF(OR(AND(p_micro=2,AA65&lt;=$H65,p_traveltime=TRUE,$H65&lt;&gt;"",AA65&lt;&gt;""),AND(p_micro=1,AA65&lt;$H65,p_traveltime=TRUE,$H65&lt;&gt;"",AA65&lt;&gt;"")),1,"")</f>
        <v/>
      </c>
      <c r="AE65" s="702"/>
      <c r="AF65" s="587" t="str">
        <f>IF(AND(code0&lt;&gt;"",'I2'!$AR$31&lt;&gt;""),'I2'!$AR$31,"")</f>
        <v/>
      </c>
      <c r="AG65" s="1"/>
      <c r="AH65" s="890" t="str">
        <f t="shared" ref="AH65:AH68" si="23">IF(AF65=$AK65,1,"")</f>
        <v/>
      </c>
      <c r="AI65" s="894" t="str">
        <f>IF(OR(AND(p_micro=2,AF65&lt;=$H65,p_traveltime=TRUE,$H65&lt;&gt;"",AF65&lt;&gt;""),AND(p_micro=1,AF65&lt;$H65,p_traveltime=TRUE,$H65&lt;&gt;"",AF65&lt;&gt;"")),1,"")</f>
        <v/>
      </c>
      <c r="AJ65" s="702"/>
      <c r="AK65" s="900">
        <f>MIN($H65,$L65,$Q65,$V65,$AA65,$AF65)</f>
        <v>0</v>
      </c>
      <c r="AL65" s="31"/>
      <c r="AM65" s="29"/>
      <c r="AN65" s="29"/>
      <c r="AO65" s="29"/>
      <c r="AP65" s="29"/>
    </row>
    <row r="66" spans="2:42" ht="15" customHeight="1">
      <c r="B66" s="33"/>
      <c r="C66" s="29"/>
      <c r="D66" s="47" t="s">
        <v>19</v>
      </c>
      <c r="F66" s="190" t="str">
        <f>F$50</f>
        <v/>
      </c>
      <c r="G66" s="190"/>
      <c r="H66" s="587" t="str">
        <f>IF(AND(code0&lt;&gt;"",'I2'!$J$31&lt;&gt;""),'I2'!$J$31,"")</f>
        <v/>
      </c>
      <c r="I66" s="1"/>
      <c r="J66" s="890" t="str">
        <f t="shared" si="18"/>
        <v/>
      </c>
      <c r="K66" s="702"/>
      <c r="L66" s="587" t="str">
        <f>IF(AND(code0&lt;&gt;"",'I2'!$Q$31&lt;&gt;""),'I2'!$Q$31,"")</f>
        <v/>
      </c>
      <c r="M66" s="1"/>
      <c r="N66" s="890" t="str">
        <f t="shared" si="19"/>
        <v/>
      </c>
      <c r="O66" s="894" t="str">
        <f>IF(OR(AND(p_micro=2,L66&lt;=$H66,p_traveltime=TRUE,$H66&lt;&gt;"",L66&lt;&gt;""),AND(p_micro=1,L66&lt;$H66,p_traveltime=TRUE,$H66&lt;&gt;"",L66&lt;&gt;"")),1,"")</f>
        <v/>
      </c>
      <c r="P66" s="702"/>
      <c r="Q66" s="587" t="str">
        <f>IF(AND(code0&lt;&gt;"",'I2'!$X$31&lt;&gt;""),'I2'!$X$31,"")</f>
        <v/>
      </c>
      <c r="R66" s="1"/>
      <c r="S66" s="890" t="str">
        <f t="shared" si="20"/>
        <v/>
      </c>
      <c r="T66" s="894" t="str">
        <f>IF(OR(AND(p_micro=2,Q66&lt;=$H66,p_traveltime=TRUE,$H66&lt;&gt;"",Q66&lt;&gt;""),AND(p_micro=1,Q66&lt;$H66,p_traveltime=TRUE,$H66&lt;&gt;"",Q66&lt;&gt;"")),1,"")</f>
        <v/>
      </c>
      <c r="U66" s="702"/>
      <c r="V66" s="587" t="str">
        <f>IF(AND(code0&lt;&gt;"",'I2'!$AE$31&lt;&gt;""),'I2'!$AE$31,"")</f>
        <v/>
      </c>
      <c r="W66" s="1"/>
      <c r="X66" s="890" t="str">
        <f t="shared" si="21"/>
        <v/>
      </c>
      <c r="Y66" s="894" t="str">
        <f>IF(OR(AND(p_micro=2,V66&lt;=$H66,p_traveltime=TRUE,$H66&lt;&gt;"",V66&lt;&gt;""),AND(p_micro=1,V66&lt;$H66,p_traveltime=TRUE,$H66&lt;&gt;"",V66&lt;&gt;"")),1,"")</f>
        <v/>
      </c>
      <c r="Z66" s="702"/>
      <c r="AA66" s="587" t="str">
        <f>IF(AND(code0&lt;&gt;"",'I2'!$AL$31&lt;&gt;""),'I2'!$AL$31,"")</f>
        <v/>
      </c>
      <c r="AB66" s="1"/>
      <c r="AC66" s="890" t="str">
        <f t="shared" si="22"/>
        <v/>
      </c>
      <c r="AD66" s="894" t="str">
        <f>IF(OR(AND(p_micro=2,AA66&lt;=$H66,p_traveltime=TRUE,$H66&lt;&gt;"",AA66&lt;&gt;""),AND(p_micro=1,AA66&lt;$H66,p_traveltime=TRUE,$H66&lt;&gt;"",AA66&lt;&gt;"")),1,"")</f>
        <v/>
      </c>
      <c r="AE66" s="702"/>
      <c r="AF66" s="587" t="str">
        <f>IF(AND(code0&lt;&gt;"",'I2'!$AS$31&lt;&gt;""),'I2'!$AS$31,"")</f>
        <v/>
      </c>
      <c r="AG66" s="1"/>
      <c r="AH66" s="890" t="str">
        <f t="shared" si="23"/>
        <v/>
      </c>
      <c r="AI66" s="894" t="str">
        <f>IF(OR(AND(p_micro=2,AF66&lt;=$H66,p_traveltime=TRUE,$H66&lt;&gt;"",AF66&lt;&gt;""),AND(p_micro=1,AF66&lt;$H66,p_traveltime=TRUE,$H66&lt;&gt;"",AF66&lt;&gt;"")),1,"")</f>
        <v/>
      </c>
      <c r="AJ66" s="702"/>
      <c r="AK66" s="900">
        <f>MIN($H66,$L66,$Q66,$V66,$AA66,$AF66)</f>
        <v>0</v>
      </c>
      <c r="AL66" s="31"/>
      <c r="AM66" s="29"/>
      <c r="AN66" s="29"/>
      <c r="AO66" s="29"/>
      <c r="AP66" s="29"/>
    </row>
    <row r="67" spans="2:42" ht="15" customHeight="1">
      <c r="B67" s="33"/>
      <c r="C67" s="29"/>
      <c r="D67" s="47" t="s">
        <v>16</v>
      </c>
      <c r="F67" s="190" t="str">
        <f>F$51</f>
        <v/>
      </c>
      <c r="G67" s="190"/>
      <c r="H67" s="587" t="str">
        <f>IF(AND(code0&lt;&gt;"",'I2'!$K$31&lt;&gt;""),'I2'!$K$31,"")</f>
        <v/>
      </c>
      <c r="I67" s="1"/>
      <c r="J67" s="890" t="str">
        <f t="shared" si="18"/>
        <v/>
      </c>
      <c r="K67" s="702"/>
      <c r="L67" s="587" t="str">
        <f>IF(AND(code0&lt;&gt;"",'I2'!$R$31&lt;&gt;""),'I2'!$R$31,"")</f>
        <v/>
      </c>
      <c r="M67" s="1"/>
      <c r="N67" s="890" t="str">
        <f t="shared" si="19"/>
        <v/>
      </c>
      <c r="O67" s="894" t="str">
        <f>IF(OR(AND(p_micro=2,L67&lt;=$H67,p_reliability=TRUE,$H67&lt;&gt;"",L67&lt;&gt;""),AND(p_micro=1,L67&lt;$H67,p_reliability=TRUE,$H67&lt;&gt;"",L67&lt;&gt;"")),1,"")</f>
        <v/>
      </c>
      <c r="P67" s="702"/>
      <c r="Q67" s="587" t="str">
        <f>IF(AND(code0&lt;&gt;"",'I2'!$Y$31&lt;&gt;""),'I2'!$Y$31,"")</f>
        <v/>
      </c>
      <c r="R67" s="1"/>
      <c r="S67" s="890" t="str">
        <f t="shared" si="20"/>
        <v/>
      </c>
      <c r="T67" s="894" t="str">
        <f>IF(OR(AND(p_micro=2,Q67&lt;=$H67,p_reliability=TRUE,$H67&lt;&gt;"",Q67&lt;&gt;""),AND(p_micro=1,Q67&lt;$H67,p_reliability=TRUE,$H67&lt;&gt;"",Q67&lt;&gt;"")),1,"")</f>
        <v/>
      </c>
      <c r="U67" s="702"/>
      <c r="V67" s="587" t="str">
        <f>IF(AND(code0&lt;&gt;"",'I2'!$AF$31&lt;&gt;""),'I2'!$AF$31,"")</f>
        <v/>
      </c>
      <c r="W67" s="1"/>
      <c r="X67" s="890" t="str">
        <f t="shared" si="21"/>
        <v/>
      </c>
      <c r="Y67" s="894" t="str">
        <f>IF(OR(AND(p_micro=2,V67&lt;=$H67,p_reliability=TRUE,$H67&lt;&gt;"",V67&lt;&gt;""),AND(p_micro=1,V67&lt;$H67,p_reliability=TRUE,$H67&lt;&gt;"",V67&lt;&gt;"")),1,"")</f>
        <v/>
      </c>
      <c r="Z67" s="702"/>
      <c r="AA67" s="587" t="str">
        <f>IF(AND(code0&lt;&gt;"",'I2'!$AM$31&lt;&gt;""),'I2'!$AM$31,"")</f>
        <v/>
      </c>
      <c r="AB67" s="1"/>
      <c r="AC67" s="890" t="str">
        <f t="shared" si="22"/>
        <v/>
      </c>
      <c r="AD67" s="894" t="str">
        <f>IF(OR(AND(p_micro=2,AA67&lt;=$H67,p_reliability=TRUE,$H67&lt;&gt;"",AA67&lt;&gt;""),AND(p_micro=1,AA67&lt;$H67,p_reliability=TRUE,$H67&lt;&gt;"",AA67&lt;&gt;"")),1,"")</f>
        <v/>
      </c>
      <c r="AE67" s="702"/>
      <c r="AF67" s="587" t="str">
        <f>IF(AND(code0&lt;&gt;"",'I2'!$AT$31&lt;&gt;""),'I2'!$AT$31,"")</f>
        <v/>
      </c>
      <c r="AG67" s="1"/>
      <c r="AH67" s="890" t="str">
        <f t="shared" si="23"/>
        <v/>
      </c>
      <c r="AI67" s="894" t="str">
        <f>IF(OR(AND(p_micro=2,AF67&lt;=$H67,p_reliability=TRUE,$H67&lt;&gt;"",AF67&lt;&gt;""),AND(p_micro=1,AF67&lt;$H67,p_reliability=TRUE,$H67&lt;&gt;"",AF67&lt;&gt;"")),1,"")</f>
        <v/>
      </c>
      <c r="AJ67" s="702"/>
      <c r="AK67" s="900">
        <f>MIN($H67,$L67,$Q67,$V67,$AA67,$AF67)</f>
        <v>0</v>
      </c>
      <c r="AL67" s="31"/>
      <c r="AM67" s="29"/>
      <c r="AN67" s="29"/>
      <c r="AO67" s="29"/>
      <c r="AP67" s="29"/>
    </row>
    <row r="68" spans="2:42" ht="15" customHeight="1">
      <c r="B68" s="33"/>
      <c r="C68" s="59"/>
      <c r="D68" s="85" t="s">
        <v>18</v>
      </c>
      <c r="E68" s="59"/>
      <c r="F68" s="294" t="str">
        <f>F$52</f>
        <v/>
      </c>
      <c r="G68" s="190"/>
      <c r="H68" s="589" t="str">
        <f>IF(AND(code0&lt;&gt;"",'I2'!$L$31&lt;&gt;""),'I2'!$L$31,"")</f>
        <v/>
      </c>
      <c r="I68" s="1"/>
      <c r="J68" s="892" t="str">
        <f t="shared" si="18"/>
        <v/>
      </c>
      <c r="K68" s="703"/>
      <c r="L68" s="589" t="str">
        <f>IF(AND(code0&lt;&gt;"",'I2'!$S$31&lt;&gt;""),'I2'!$S$31,"")</f>
        <v/>
      </c>
      <c r="M68" s="1"/>
      <c r="N68" s="892" t="str">
        <f t="shared" si="19"/>
        <v/>
      </c>
      <c r="O68" s="895" t="str">
        <f>IF(OR(AND(p_micro=2,L68&gt;=$H68,p_tripquality=TRUE,$H68&lt;&gt;"",L68&lt;&gt;""),AND(p_micro=1,L68&gt;$H68,p_tripquality=TRUE,$H68&lt;&gt;"",L68&lt;&gt;"")),1,"")</f>
        <v/>
      </c>
      <c r="P68" s="703"/>
      <c r="Q68" s="589" t="str">
        <f>IF(AND(code0&lt;&gt;"",'I2'!$Z$31&lt;&gt;""),'I2'!$Z$31,"")</f>
        <v/>
      </c>
      <c r="R68" s="1"/>
      <c r="S68" s="892" t="str">
        <f t="shared" si="20"/>
        <v/>
      </c>
      <c r="T68" s="895" t="str">
        <f>IF(OR(AND(p_micro=2,Q68&gt;=$H68,p_tripquality=TRUE,$H68&lt;&gt;"",Q68&lt;&gt;""),AND(p_micro=1,Q68&gt;$H68,p_tripquality=TRUE,$H68&lt;&gt;"",Q68&lt;&gt;"")),1,"")</f>
        <v/>
      </c>
      <c r="U68" s="703"/>
      <c r="V68" s="589" t="str">
        <f>IF(AND(code0&lt;&gt;"",'I2'!$AG$31&lt;&gt;""),'I2'!$AG$31,"")</f>
        <v/>
      </c>
      <c r="W68" s="1"/>
      <c r="X68" s="892" t="str">
        <f t="shared" si="21"/>
        <v/>
      </c>
      <c r="Y68" s="895" t="str">
        <f>IF(OR(AND(p_micro=2,V68&gt;=$H68,p_tripquality=TRUE,$H68&lt;&gt;"",V68&lt;&gt;""),AND(p_micro=1,V68&gt;$H68,p_tripquality=TRUE,$H68&lt;&gt;"",V68&lt;&gt;"")),1,"")</f>
        <v/>
      </c>
      <c r="Z68" s="703"/>
      <c r="AA68" s="589" t="str">
        <f>IF(AND(code0&lt;&gt;"",'I2'!$AN$31&lt;&gt;""),'I2'!$AN$31,"")</f>
        <v/>
      </c>
      <c r="AB68" s="1"/>
      <c r="AC68" s="892" t="str">
        <f t="shared" si="22"/>
        <v/>
      </c>
      <c r="AD68" s="895" t="str">
        <f>IF(OR(AND(p_micro=2,AA68&gt;=$H68,p_tripquality=TRUE,$H68&lt;&gt;"",AA68&lt;&gt;""),AND(p_micro=1,AA68&gt;$H68,p_tripquality=TRUE,$H68&lt;&gt;"",AA68&lt;&gt;"")),1,"")</f>
        <v/>
      </c>
      <c r="AE68" s="703"/>
      <c r="AF68" s="589" t="str">
        <f>IF(AND(code0&lt;&gt;"",'I2'!$AU$31&lt;&gt;""),'I2'!$AU$31,"")</f>
        <v/>
      </c>
      <c r="AG68" s="1"/>
      <c r="AH68" s="890" t="str">
        <f t="shared" si="23"/>
        <v/>
      </c>
      <c r="AI68" s="894" t="str">
        <f>IF(OR(AND(p_micro=2,AF68&gt;=$H68,p_tripquality=TRUE,$H68&lt;&gt;"",AF68&lt;&gt;""),AND(p_micro=1,AF68&gt;$H68,p_tripquality=TRUE,$H68&lt;&gt;"",AF68&lt;&gt;"")),1,"")</f>
        <v/>
      </c>
      <c r="AJ68" s="702"/>
      <c r="AK68" s="900">
        <f>MIN($H68,$L68,$Q68,$V68,$AA68,$AF68)</f>
        <v>0</v>
      </c>
      <c r="AL68" s="31"/>
      <c r="AM68" s="29"/>
      <c r="AN68" s="29"/>
      <c r="AO68" s="29"/>
      <c r="AP68" s="29"/>
    </row>
    <row r="69" spans="2:42" ht="15" customHeight="1">
      <c r="B69" s="33"/>
      <c r="C69" s="49" t="s">
        <v>85</v>
      </c>
      <c r="D69" s="47"/>
      <c r="F69" s="748"/>
      <c r="G69" s="748"/>
      <c r="H69" s="748"/>
      <c r="I69" s="1"/>
      <c r="J69" s="610"/>
      <c r="K69" s="704"/>
      <c r="L69" s="748"/>
      <c r="M69" s="1"/>
      <c r="N69" s="610"/>
      <c r="O69" s="711"/>
      <c r="P69" s="704"/>
      <c r="Q69" s="748"/>
      <c r="R69" s="1"/>
      <c r="S69" s="610"/>
      <c r="T69" s="711"/>
      <c r="U69" s="704"/>
      <c r="V69" s="748"/>
      <c r="W69" s="1"/>
      <c r="X69" s="610"/>
      <c r="Y69" s="711"/>
      <c r="Z69" s="704"/>
      <c r="AA69" s="748"/>
      <c r="AB69" s="1"/>
      <c r="AC69" s="610"/>
      <c r="AD69" s="711"/>
      <c r="AE69" s="704"/>
      <c r="AF69" s="748"/>
      <c r="AG69" s="1"/>
      <c r="AH69" s="610"/>
      <c r="AI69" s="711"/>
      <c r="AJ69" s="704"/>
      <c r="AK69" s="704"/>
      <c r="AL69" s="31"/>
      <c r="AM69" s="29"/>
      <c r="AN69" s="29"/>
      <c r="AO69" s="29"/>
      <c r="AP69" s="29"/>
    </row>
    <row r="70" spans="2:42" ht="15" customHeight="1">
      <c r="B70" s="33"/>
      <c r="C70" s="29"/>
      <c r="D70" s="47" t="s">
        <v>258</v>
      </c>
      <c r="F70" s="182" t="s">
        <v>514</v>
      </c>
      <c r="G70" s="182"/>
      <c r="H70" s="587" t="str">
        <f>IF(code0="","",'I1'!F48)</f>
        <v/>
      </c>
      <c r="I70" s="1"/>
      <c r="J70" s="890" t="str">
        <f t="shared" si="0"/>
        <v/>
      </c>
      <c r="K70" s="891" t="str">
        <f>IF(H70&lt;standard_bus,1,"")</f>
        <v/>
      </c>
      <c r="L70" s="587" t="str">
        <f>IF(code1="","",'I1'!H48)</f>
        <v/>
      </c>
      <c r="M70" s="1"/>
      <c r="N70" s="890" t="str">
        <f t="shared" si="1"/>
        <v/>
      </c>
      <c r="O70" s="894" t="str">
        <f>IF(OR(AND(MAX(p_bus_move,p_buspax_move)=2,L70&lt;=$H70,p_tripquality=TRUE,$H70&lt;&gt;"",L70&lt;&gt;""),AND(MAX(p_bus_move,p_buspax_move)=1,L70&lt;$H70,p_tripquality=TRUE,$H70&lt;&gt;"",L70&lt;&gt;"")),1,"")</f>
        <v/>
      </c>
      <c r="P70" s="891" t="str">
        <f>IF(L70&lt;standard_bus,1,"")</f>
        <v/>
      </c>
      <c r="Q70" s="587" t="str">
        <f>IF(code2="","",'I1'!J48)</f>
        <v/>
      </c>
      <c r="R70" s="1"/>
      <c r="S70" s="890" t="str">
        <f t="shared" si="2"/>
        <v/>
      </c>
      <c r="T70" s="894" t="str">
        <f>IF(OR(AND(MAX(p_bus_move,p_buspax_move)=2,Q70&lt;=$H70,p_tripquality=TRUE,$H70&lt;&gt;"",Q70&lt;&gt;""),AND(MAX(p_bus_move,p_buspax_move)=1,Q70&lt;$H70,p_tripquality=TRUE,$H70&lt;&gt;"",Q70&lt;&gt;"")),1,"")</f>
        <v/>
      </c>
      <c r="U70" s="891" t="str">
        <f>IF(Q70&lt;standard_bus,1,"")</f>
        <v/>
      </c>
      <c r="V70" s="587" t="str">
        <f>IF(code3="","",'I1'!L48)</f>
        <v/>
      </c>
      <c r="W70" s="1"/>
      <c r="X70" s="890" t="str">
        <f t="shared" si="3"/>
        <v/>
      </c>
      <c r="Y70" s="894" t="str">
        <f>IF(OR(AND(MAX(p_bus_move,p_buspax_move)=2,V70&lt;=$H70,p_tripquality=TRUE,$H70&lt;&gt;"",V70&lt;&gt;""),AND(MAX(p_bus_move,p_buspax_move)=1,V70&lt;$H70,p_tripquality=TRUE,$H70&lt;&gt;"",V70&lt;&gt;"")),1,"")</f>
        <v/>
      </c>
      <c r="Z70" s="891" t="str">
        <f>IF(V70&lt;standard_bus,1,"")</f>
        <v/>
      </c>
      <c r="AA70" s="587" t="str">
        <f>IF(code4="","",'I1'!N48)</f>
        <v/>
      </c>
      <c r="AB70" s="1"/>
      <c r="AC70" s="890" t="str">
        <f t="shared" si="4"/>
        <v/>
      </c>
      <c r="AD70" s="894" t="str">
        <f>IF(OR(AND(MAX(p_bus_move,p_buspax_move)=2,AA70&lt;=$H70,p_tripquality=TRUE,$H70&lt;&gt;"",AA70&lt;&gt;""),AND(MAX(p_bus_move,p_buspax_move)=1,AA70&lt;$H70,p_tripquality=TRUE,$H70&lt;&gt;"",AA70&lt;&gt;"")),1,"")</f>
        <v/>
      </c>
      <c r="AE70" s="891" t="str">
        <f>IF(AA70&lt;standard_bus,1,"")</f>
        <v/>
      </c>
      <c r="AF70" s="587" t="str">
        <f>IF(code5="","",'I1'!P48)</f>
        <v/>
      </c>
      <c r="AG70" s="1"/>
      <c r="AH70" s="890" t="str">
        <f t="shared" si="5"/>
        <v/>
      </c>
      <c r="AI70" s="894" t="str">
        <f>IF(OR(AND(MAX(p_bus_move,p_buspax_move)=2,AF70&lt;=$H70,p_tripquality=TRUE,$H70&lt;&gt;"",AF70&lt;&gt;""),AND(MAX(p_bus_move,p_buspax_move)=1,AF70&lt;$H70,p_tripquality=TRUE,$H70&lt;&gt;"",AF70&lt;&gt;"")),1,"")</f>
        <v/>
      </c>
      <c r="AJ70" s="891" t="str">
        <f>IF(AF70&lt;standard_bus,1,"")</f>
        <v/>
      </c>
      <c r="AK70" s="900">
        <f>MAX($H70,$L70,$Q70,$V70,$AA70,$AF70)</f>
        <v>0</v>
      </c>
      <c r="AL70" s="31"/>
      <c r="AM70" s="29"/>
      <c r="AN70" s="29"/>
      <c r="AO70" s="29"/>
      <c r="AP70" s="29"/>
    </row>
    <row r="71" spans="2:42" ht="15" customHeight="1">
      <c r="B71" s="33"/>
      <c r="C71" s="29"/>
      <c r="D71" s="47" t="s">
        <v>15</v>
      </c>
      <c r="F71" s="190" t="str">
        <f>F$47</f>
        <v/>
      </c>
      <c r="G71" s="190"/>
      <c r="H71" s="588" t="str">
        <f>IF(AND(code0&lt;&gt;"",'I2'!$G$32&lt;&gt;""),'I2'!$G$32,"")</f>
        <v/>
      </c>
      <c r="I71" s="1"/>
      <c r="J71" s="890" t="str">
        <f t="shared" si="0"/>
        <v/>
      </c>
      <c r="K71" s="702"/>
      <c r="L71" s="588" t="str">
        <f>IF(AND(code0&lt;&gt;"",'I2'!$N$32&lt;&gt;""),'I2'!$N$32,"")</f>
        <v/>
      </c>
      <c r="M71" s="1"/>
      <c r="N71" s="890" t="str">
        <f t="shared" si="1"/>
        <v/>
      </c>
      <c r="O71" s="894" t="str">
        <f>IF(OR(AND(MAX(p_bus_move,p_buspax_move)=2,L71&lt;=$H71,p_trips=TRUE,$H71&lt;&gt;"",L71&lt;&gt;""),AND(MAX(p_bus_move,p_buspax_move)=1,L71&lt;$H71,p_trips=TRUE,$H71&lt;&gt;"",L71&lt;&gt;"")),1,"")</f>
        <v/>
      </c>
      <c r="P71" s="702"/>
      <c r="Q71" s="587" t="str">
        <f>IF(AND(code0&lt;&gt;"",'I2'!$U$32&lt;&gt;""),'I2'!$U$32,"")</f>
        <v/>
      </c>
      <c r="R71" s="1"/>
      <c r="S71" s="890" t="str">
        <f t="shared" si="2"/>
        <v/>
      </c>
      <c r="T71" s="894" t="str">
        <f>IF(OR(AND(MAX(p_bus_move,p_buspax_move)=2,Q71&lt;=$H71,p_trips=TRUE,$H71&lt;&gt;"",Q71&lt;&gt;""),AND(MAX(p_bus_move,p_buspax_move)=1,Q71&lt;$H71,p_trips=TRUE,$H71&lt;&gt;"",Q71&lt;&gt;"")),1,"")</f>
        <v/>
      </c>
      <c r="U71" s="702"/>
      <c r="V71" s="587" t="str">
        <f>IF(AND(code0&lt;&gt;"",'I2'!$AB$32&lt;&gt;""),'I2'!$AB$32,"")</f>
        <v/>
      </c>
      <c r="W71" s="1"/>
      <c r="X71" s="890" t="str">
        <f t="shared" si="3"/>
        <v/>
      </c>
      <c r="Y71" s="894" t="str">
        <f>IF(OR(AND(MAX(p_bus_move,p_buspax_move)=2,V71&lt;=$H71,p_trips=TRUE,$H71&lt;&gt;"",V71&lt;&gt;""),AND(MAX(p_bus_move,p_buspax_move)=1,V71&lt;$H71,p_trips=TRUE,$H71&lt;&gt;"",V71&lt;&gt;"")),1,"")</f>
        <v/>
      </c>
      <c r="Z71" s="702"/>
      <c r="AA71" s="587" t="str">
        <f>IF(AND(code0&lt;&gt;"",'I2'!$AI$32&lt;&gt;""),'I2'!$AI$32,"")</f>
        <v/>
      </c>
      <c r="AB71" s="1"/>
      <c r="AC71" s="890" t="str">
        <f t="shared" si="4"/>
        <v/>
      </c>
      <c r="AD71" s="894" t="str">
        <f>IF(OR(AND(MAX(p_bus_move,p_buspax_move)=2,AA71&lt;=$H71,p_trips=TRUE,$H71&lt;&gt;"",AA71&lt;&gt;""),AND(MAX(p_bus_move,p_buspax_move)=1,AA71&lt;$H71,p_trips=TRUE,$H71&lt;&gt;"",AA71&lt;&gt;"")),1,"")</f>
        <v/>
      </c>
      <c r="AE71" s="702"/>
      <c r="AF71" s="587" t="str">
        <f>IF(AND(code0&lt;&gt;"",'I2'!$AP$32&lt;&gt;""),'I2'!$AP$32,"")</f>
        <v/>
      </c>
      <c r="AG71" s="1"/>
      <c r="AH71" s="890" t="str">
        <f t="shared" si="5"/>
        <v/>
      </c>
      <c r="AI71" s="894" t="str">
        <f>IF(OR(AND(MAX(p_bus_move,p_buspax_move)=2,AF71&lt;=$H71,p_trips=TRUE,$H71&lt;&gt;"",AF71&lt;&gt;""),AND(MAX(p_bus_move,p_buspax_move)=1,AF71&lt;$H71,p_trips=TRUE,$H71&lt;&gt;"",AF71&lt;&gt;"")),1,"")</f>
        <v/>
      </c>
      <c r="AJ71" s="702"/>
      <c r="AK71" s="900">
        <f>MAX($H71,$L71,$Q71,$V71,$AA71,$AF71)</f>
        <v>0</v>
      </c>
      <c r="AL71" s="31"/>
      <c r="AM71" s="29"/>
      <c r="AN71" s="29"/>
      <c r="AO71" s="29"/>
      <c r="AP71" s="29"/>
    </row>
    <row r="72" spans="2:42" ht="15" customHeight="1">
      <c r="B72" s="33"/>
      <c r="C72" s="29"/>
      <c r="D72" s="47" t="s">
        <v>297</v>
      </c>
      <c r="F72" s="190" t="str">
        <f>F$48</f>
        <v/>
      </c>
      <c r="G72" s="190"/>
      <c r="H72" s="587" t="str">
        <f>IF(AND(code0&lt;&gt;"",'I2'!$H$32&lt;&gt;""),'I2'!$H$32,"")</f>
        <v/>
      </c>
      <c r="I72" s="1"/>
      <c r="J72" s="890" t="str">
        <f t="shared" si="0"/>
        <v/>
      </c>
      <c r="K72" s="702"/>
      <c r="L72" s="587" t="str">
        <f>IF(AND(code0&lt;&gt;"",'I2'!$O$32&lt;&gt;""),'I2'!$O$32,"")</f>
        <v/>
      </c>
      <c r="M72" s="1"/>
      <c r="N72" s="890" t="str">
        <f t="shared" si="1"/>
        <v/>
      </c>
      <c r="O72" s="894" t="str">
        <f>IF(OR(AND(MAX(p_bus_move,p_buspax_move)=2,L72&lt;=$H72,p_traveltime=TRUE,$H72&lt;&gt;"",L72&lt;&gt;""),AND(MAX(p_bus_move,p_buspax_move)=1,L72&lt;$H72,p_traveltime=TRUE,$H72&lt;&gt;"",L72&lt;&gt;"")),1,"")</f>
        <v/>
      </c>
      <c r="P72" s="702"/>
      <c r="Q72" s="587" t="str">
        <f>IF(AND(code0&lt;&gt;"",'I2'!$V$32&lt;&gt;""),'I2'!$V$32,"")</f>
        <v/>
      </c>
      <c r="R72" s="1"/>
      <c r="S72" s="890" t="str">
        <f t="shared" si="2"/>
        <v/>
      </c>
      <c r="T72" s="894" t="str">
        <f>IF(OR(AND(MAX(p_bus_move,p_buspax_move)=2,Q72&lt;=$H72,p_traveltime=TRUE,$H72&lt;&gt;"",Q72&lt;&gt;""),AND(MAX(p_bus_move,p_buspax_move)=1,Q72&lt;$H72,p_traveltime=TRUE,$H72&lt;&gt;"",Q72&lt;&gt;"")),1,"")</f>
        <v/>
      </c>
      <c r="U72" s="702"/>
      <c r="V72" s="587" t="str">
        <f>IF(AND(code0&lt;&gt;"",'I2'!$AC$32&lt;&gt;""),'I2'!$AC$32,"")</f>
        <v/>
      </c>
      <c r="W72" s="1"/>
      <c r="X72" s="890" t="str">
        <f t="shared" si="3"/>
        <v/>
      </c>
      <c r="Y72" s="894" t="str">
        <f>IF(OR(AND(MAX(p_bus_move,p_buspax_move)=2,V72&lt;=$H72,p_traveltime=TRUE,$H72&lt;&gt;"",V72&lt;&gt;""),AND(MAX(p_bus_move,p_buspax_move)=1,V72&lt;$H72,p_traveltime=TRUE,$H72&lt;&gt;"",V72&lt;&gt;"")),1,"")</f>
        <v/>
      </c>
      <c r="Z72" s="702"/>
      <c r="AA72" s="587" t="str">
        <f>IF(AND(code0&lt;&gt;"",'I2'!$AJ$32&lt;&gt;""),'I2'!$AJ$32,"")</f>
        <v/>
      </c>
      <c r="AB72" s="1"/>
      <c r="AC72" s="890" t="str">
        <f t="shared" si="4"/>
        <v/>
      </c>
      <c r="AD72" s="894" t="str">
        <f>IF(OR(AND(MAX(p_bus_move,p_buspax_move)=2,AA72&lt;=$H72,p_traveltime=TRUE,$H72&lt;&gt;"",AA72&lt;&gt;""),AND(MAX(p_bus_move,p_buspax_move)=1,AA72&lt;$H72,p_traveltime=TRUE,$H72&lt;&gt;"",AA72&lt;&gt;"")),1,"")</f>
        <v/>
      </c>
      <c r="AE72" s="702"/>
      <c r="AF72" s="587" t="str">
        <f>IF(AND(code0&lt;&gt;"",'I2'!$AQ$32&lt;&gt;""),'I2'!$AQ$32,"")</f>
        <v/>
      </c>
      <c r="AG72" s="1"/>
      <c r="AH72" s="890" t="str">
        <f t="shared" si="5"/>
        <v/>
      </c>
      <c r="AI72" s="894" t="str">
        <f>IF(OR(AND(MAX(p_bus_move,p_buspax_move)=2,AF72&lt;=$H72,p_traveltime=TRUE,$H72&lt;&gt;"",AF72&lt;&gt;""),AND(MAX(p_bus_move,p_buspax_move)=1,AF72&lt;$H72,p_traveltime=TRUE,$H72&lt;&gt;"",AF72&lt;&gt;"")),1,"")</f>
        <v/>
      </c>
      <c r="AJ72" s="702"/>
      <c r="AK72" s="900">
        <f>MAX($H72,$L72,$Q72,$V72,$AA72,$AF72)</f>
        <v>0</v>
      </c>
      <c r="AL72" s="31"/>
      <c r="AM72" s="29"/>
      <c r="AN72" s="29"/>
      <c r="AO72" s="29"/>
      <c r="AP72" s="29"/>
    </row>
    <row r="73" spans="2:42" ht="15" customHeight="1">
      <c r="B73" s="33"/>
      <c r="C73" s="29"/>
      <c r="D73" s="47" t="s">
        <v>296</v>
      </c>
      <c r="F73" s="190" t="str">
        <f>F$49</f>
        <v/>
      </c>
      <c r="G73" s="190"/>
      <c r="H73" s="587" t="str">
        <f>IF(AND(code0&lt;&gt;"",'I2'!$I$32&lt;&gt;""),'I2'!$I$32,"")</f>
        <v/>
      </c>
      <c r="I73" s="1"/>
      <c r="J73" s="890" t="str">
        <f t="shared" ref="J73:J76" si="24">IF(H73=$AK73,1,"")</f>
        <v/>
      </c>
      <c r="K73" s="702"/>
      <c r="L73" s="587" t="str">
        <f>IF(AND(code0&lt;&gt;"",'I2'!$P$32&lt;&gt;""),'I2'!$P$32,"")</f>
        <v/>
      </c>
      <c r="M73" s="1"/>
      <c r="N73" s="890" t="str">
        <f t="shared" ref="N73:N76" si="25">IF(L73=$AK73,1,"")</f>
        <v/>
      </c>
      <c r="O73" s="894" t="str">
        <f>IF(OR(AND(MAX(p_bus_move,p_buspax_move)=2,L73&lt;=$H73,p_traveltime=TRUE,$H73&lt;&gt;"",L73&lt;&gt;""),AND(MAX(p_bus_move,p_buspax_move)=1,L73&lt;$H73,p_traveltime=TRUE,$H73&lt;&gt;"",L73&lt;&gt;"")),1,"")</f>
        <v/>
      </c>
      <c r="P73" s="702"/>
      <c r="Q73" s="587" t="str">
        <f>IF(AND(code0&lt;&gt;"",'I2'!$W$32&lt;&gt;""),'I2'!$W$32,"")</f>
        <v/>
      </c>
      <c r="R73" s="1"/>
      <c r="S73" s="890" t="str">
        <f t="shared" ref="S73:S76" si="26">IF(Q73=$AK73,1,"")</f>
        <v/>
      </c>
      <c r="T73" s="894" t="str">
        <f>IF(OR(AND(MAX(p_bus_move,p_buspax_move)=2,Q73&lt;=$H73,p_traveltime=TRUE,$H73&lt;&gt;"",Q73&lt;&gt;""),AND(MAX(p_bus_move,p_buspax_move)=1,Q73&lt;$H73,p_traveltime=TRUE,$H73&lt;&gt;"",Q73&lt;&gt;"")),1,"")</f>
        <v/>
      </c>
      <c r="U73" s="702"/>
      <c r="V73" s="587" t="str">
        <f>IF(AND(code0&lt;&gt;"",'I2'!$AD$32&lt;&gt;""),'I2'!$AD$32,"")</f>
        <v/>
      </c>
      <c r="W73" s="1"/>
      <c r="X73" s="890" t="str">
        <f t="shared" ref="X73:X76" si="27">IF(V73=$AK73,1,"")</f>
        <v/>
      </c>
      <c r="Y73" s="894" t="str">
        <f>IF(OR(AND(MAX(p_bus_move,p_buspax_move)=2,V73&lt;=$H73,p_traveltime=TRUE,$H73&lt;&gt;"",V73&lt;&gt;""),AND(MAX(p_bus_move,p_buspax_move)=1,V73&lt;$H73,p_traveltime=TRUE,$H73&lt;&gt;"",V73&lt;&gt;"")),1,"")</f>
        <v/>
      </c>
      <c r="Z73" s="702"/>
      <c r="AA73" s="587" t="str">
        <f>IF(AND(code0&lt;&gt;"",'I2'!$AK$32&lt;&gt;""),'I2'!$AK$32,"")</f>
        <v/>
      </c>
      <c r="AB73" s="1"/>
      <c r="AC73" s="890" t="str">
        <f t="shared" ref="AC73:AC76" si="28">IF(AA73=$AK73,1,"")</f>
        <v/>
      </c>
      <c r="AD73" s="894" t="str">
        <f>IF(OR(AND(MAX(p_bus_move,p_buspax_move)=2,AA73&lt;=$H73,p_traveltime=TRUE,$H73&lt;&gt;"",AA73&lt;&gt;""),AND(MAX(p_bus_move,p_buspax_move)=1,AA73&lt;$H73,p_traveltime=TRUE,$H73&lt;&gt;"",AA73&lt;&gt;"")),1,"")</f>
        <v/>
      </c>
      <c r="AE73" s="702"/>
      <c r="AF73" s="587" t="str">
        <f>IF(AND(code0&lt;&gt;"",'I2'!$AR$32&lt;&gt;""),'I2'!$AR$32,"")</f>
        <v/>
      </c>
      <c r="AG73" s="1"/>
      <c r="AH73" s="890" t="str">
        <f t="shared" ref="AH73:AH76" si="29">IF(AF73=$AK73,1,"")</f>
        <v/>
      </c>
      <c r="AI73" s="894" t="str">
        <f>IF(OR(AND(MAX(p_bus_move,p_buspax_move)=2,AF73&lt;=$H73,p_traveltime=TRUE,$H73&lt;&gt;"",AF73&lt;&gt;""),AND(MAX(p_bus_move,p_buspax_move)=1,AF73&lt;$H73,p_traveltime=TRUE,$H73&lt;&gt;"",AF73&lt;&gt;"")),1,"")</f>
        <v/>
      </c>
      <c r="AJ73" s="702"/>
      <c r="AK73" s="900">
        <f>MIN($H73,$L73,$Q73,$V73,$AA73,$AF73)</f>
        <v>0</v>
      </c>
      <c r="AL73" s="31"/>
      <c r="AM73" s="29"/>
      <c r="AN73" s="29"/>
      <c r="AO73" s="29"/>
      <c r="AP73" s="29"/>
    </row>
    <row r="74" spans="2:42" ht="15" customHeight="1">
      <c r="B74" s="33"/>
      <c r="C74" s="29"/>
      <c r="D74" s="47" t="s">
        <v>19</v>
      </c>
      <c r="F74" s="190" t="str">
        <f>F$50</f>
        <v/>
      </c>
      <c r="G74" s="190"/>
      <c r="H74" s="587" t="str">
        <f>IF(AND(code0&lt;&gt;"",'I2'!$J$32&lt;&gt;""),'I2'!$J$32,"")</f>
        <v/>
      </c>
      <c r="I74" s="1"/>
      <c r="J74" s="890" t="str">
        <f t="shared" si="24"/>
        <v/>
      </c>
      <c r="K74" s="702"/>
      <c r="L74" s="587" t="str">
        <f>IF(AND(code0&lt;&gt;"",'I2'!$Q$32&lt;&gt;""),'I2'!$Q$32,"")</f>
        <v/>
      </c>
      <c r="M74" s="1"/>
      <c r="N74" s="890" t="str">
        <f t="shared" si="25"/>
        <v/>
      </c>
      <c r="O74" s="894" t="str">
        <f>IF(OR(AND(MAX(p_bus_move,p_buspax_move)=2,L74&lt;=$H74,p_congestion=TRUE,$H74&lt;&gt;"",L74&lt;&gt;""),AND(MAX(p_bus_move,p_buspax_move)=1,L74&lt;$H74,p_congestion=TRUE,$H74&lt;&gt;"",L74&lt;&gt;"")),1,"")</f>
        <v/>
      </c>
      <c r="P74" s="702"/>
      <c r="Q74" s="587" t="str">
        <f>IF(AND(code0&lt;&gt;"",'I2'!$X$32&lt;&gt;""),'I2'!$X$32,"")</f>
        <v/>
      </c>
      <c r="R74" s="1"/>
      <c r="S74" s="890" t="str">
        <f t="shared" si="26"/>
        <v/>
      </c>
      <c r="T74" s="894" t="str">
        <f>IF(OR(AND(MAX(p_bus_move,p_buspax_move)=2,Q74&lt;=$H74,p_congestion=TRUE,$H74&lt;&gt;"",Q74&lt;&gt;""),AND(MAX(p_bus_move,p_buspax_move)=1,Q74&lt;$H74,p_congestion=TRUE,$H74&lt;&gt;"",Q74&lt;&gt;"")),1,"")</f>
        <v/>
      </c>
      <c r="U74" s="702"/>
      <c r="V74" s="587" t="str">
        <f>IF(AND(code0&lt;&gt;"",'I2'!$AE$32&lt;&gt;""),'I2'!$AE$32,"")</f>
        <v/>
      </c>
      <c r="W74" s="1"/>
      <c r="X74" s="890" t="str">
        <f t="shared" si="27"/>
        <v/>
      </c>
      <c r="Y74" s="894" t="str">
        <f>IF(OR(AND(MAX(p_bus_move,p_buspax_move)=2,V74&lt;=$H74,p_congestion=TRUE,$H74&lt;&gt;"",V74&lt;&gt;""),AND(MAX(p_bus_move,p_buspax_move)=1,V74&lt;$H74,p_congestion=TRUE,$H74&lt;&gt;"",V74&lt;&gt;"")),1,"")</f>
        <v/>
      </c>
      <c r="Z74" s="702"/>
      <c r="AA74" s="587" t="str">
        <f>IF(AND(code0&lt;&gt;"",'I2'!$AL$32&lt;&gt;""),'I2'!$AL$32,"")</f>
        <v/>
      </c>
      <c r="AB74" s="1"/>
      <c r="AC74" s="890" t="str">
        <f t="shared" si="28"/>
        <v/>
      </c>
      <c r="AD74" s="894" t="str">
        <f>IF(OR(AND(MAX(p_bus_move,p_buspax_move)=2,AA74&lt;=$H74,p_congestion=TRUE,$H74&lt;&gt;"",AA74&lt;&gt;""),AND(MAX(p_bus_move,p_buspax_move)=1,AA74&lt;$H74,p_congestion=TRUE,$H74&lt;&gt;"",AA74&lt;&gt;"")),1,"")</f>
        <v/>
      </c>
      <c r="AE74" s="702"/>
      <c r="AF74" s="587" t="str">
        <f>IF(AND(code0&lt;&gt;"",'I2'!$AS$32&lt;&gt;""),'I2'!$AS$32,"")</f>
        <v/>
      </c>
      <c r="AG74" s="1"/>
      <c r="AH74" s="890" t="str">
        <f t="shared" si="29"/>
        <v/>
      </c>
      <c r="AI74" s="894" t="str">
        <f>IF(OR(AND(MAX(p_bus_move,p_buspax_move)=2,AF74&lt;=$H74,p_congestion=TRUE,$H74&lt;&gt;"",AF74&lt;&gt;""),AND(MAX(p_bus_move,p_buspax_move)=1,AF74&lt;$H74,p_congestion=TRUE,$H74&lt;&gt;"",AF74&lt;&gt;"")),1,"")</f>
        <v/>
      </c>
      <c r="AJ74" s="702"/>
      <c r="AK74" s="900">
        <f>MIN($H74,$L74,$Q74,$V74,$AA74,$AF74)</f>
        <v>0</v>
      </c>
      <c r="AL74" s="31"/>
      <c r="AM74" s="29"/>
      <c r="AN74" s="29"/>
      <c r="AO74" s="29"/>
      <c r="AP74" s="29"/>
    </row>
    <row r="75" spans="2:42" ht="15" customHeight="1">
      <c r="B75" s="33"/>
      <c r="C75" s="29"/>
      <c r="D75" s="47" t="s">
        <v>16</v>
      </c>
      <c r="F75" s="190" t="str">
        <f>F$51</f>
        <v/>
      </c>
      <c r="G75" s="190"/>
      <c r="H75" s="587" t="str">
        <f>IF(AND(code0&lt;&gt;"",'I2'!$K$32&lt;&gt;""),'I2'!$K$32,"")</f>
        <v/>
      </c>
      <c r="I75" s="1"/>
      <c r="J75" s="890" t="str">
        <f t="shared" si="24"/>
        <v/>
      </c>
      <c r="K75" s="702"/>
      <c r="L75" s="587" t="str">
        <f>IF(AND(code0&lt;&gt;"",'I2'!$R$32&lt;&gt;""),'I2'!$R$32,"")</f>
        <v/>
      </c>
      <c r="M75" s="1"/>
      <c r="N75" s="890" t="str">
        <f t="shared" si="25"/>
        <v/>
      </c>
      <c r="O75" s="894" t="str">
        <f>IF(OR(AND(MAX(p_bus_move,p_buspax_move)=2,L75&lt;=$H75,p_reliability=TRUE,$H75&lt;&gt;"",L75&lt;&gt;""),AND(MAX(p_bus_move,p_buspax_move)=1,L75&lt;$H75,p_reliability=TRUE,$H75&lt;&gt;"",L75&lt;&gt;"")),1,"")</f>
        <v/>
      </c>
      <c r="P75" s="702"/>
      <c r="Q75" s="587" t="str">
        <f>IF(AND(code0&lt;&gt;"",'I2'!$Y$32&lt;&gt;""),'I2'!$Y$32,"")</f>
        <v/>
      </c>
      <c r="R75" s="1"/>
      <c r="S75" s="890" t="str">
        <f t="shared" si="26"/>
        <v/>
      </c>
      <c r="T75" s="894" t="str">
        <f>IF(OR(AND(MAX(p_bus_move,p_buspax_move)=2,Q75&lt;=$H75,p_reliability=TRUE,$H75&lt;&gt;"",Q75&lt;&gt;""),AND(MAX(p_bus_move,p_buspax_move)=1,Q75&lt;$H75,p_reliability=TRUE,$H75&lt;&gt;"",Q75&lt;&gt;"")),1,"")</f>
        <v/>
      </c>
      <c r="U75" s="702"/>
      <c r="V75" s="587" t="str">
        <f>IF(AND(code0&lt;&gt;"",'I2'!$AF$32&lt;&gt;""),'I2'!$AF$32,"")</f>
        <v/>
      </c>
      <c r="W75" s="1"/>
      <c r="X75" s="890" t="str">
        <f t="shared" si="27"/>
        <v/>
      </c>
      <c r="Y75" s="894" t="str">
        <f>IF(OR(AND(MAX(p_bus_move,p_buspax_move)=2,V75&lt;=$H75,p_reliability=TRUE,$H75&lt;&gt;"",V75&lt;&gt;""),AND(MAX(p_bus_move,p_buspax_move)=1,V75&lt;$H75,p_reliability=TRUE,$H75&lt;&gt;"",V75&lt;&gt;"")),1,"")</f>
        <v/>
      </c>
      <c r="Z75" s="702"/>
      <c r="AA75" s="587" t="str">
        <f>IF(AND(code0&lt;&gt;"",'I2'!$AM$32&lt;&gt;""),'I2'!$AM$32,"")</f>
        <v/>
      </c>
      <c r="AB75" s="1"/>
      <c r="AC75" s="890" t="str">
        <f t="shared" si="28"/>
        <v/>
      </c>
      <c r="AD75" s="894" t="str">
        <f>IF(OR(AND(MAX(p_bus_move,p_buspax_move)=2,AA75&lt;=$H75,p_reliability=TRUE,$H75&lt;&gt;"",AA75&lt;&gt;""),AND(MAX(p_bus_move,p_buspax_move)=1,AA75&lt;$H75,p_reliability=TRUE,$H75&lt;&gt;"",AA75&lt;&gt;"")),1,"")</f>
        <v/>
      </c>
      <c r="AE75" s="702"/>
      <c r="AF75" s="587" t="str">
        <f>IF(AND(code0&lt;&gt;"",'I2'!$AT$32&lt;&gt;""),'I2'!$AT$32,"")</f>
        <v/>
      </c>
      <c r="AG75" s="1"/>
      <c r="AH75" s="890" t="str">
        <f t="shared" si="29"/>
        <v/>
      </c>
      <c r="AI75" s="894" t="str">
        <f>IF(OR(AND(MAX(p_bus_move,p_buspax_move)=2,AF75&lt;=$H75,p_reliability=TRUE,$H75&lt;&gt;"",AF75&lt;&gt;""),AND(MAX(p_bus_move,p_buspax_move)=1,AF75&lt;$H75,p_reliability=TRUE,$H75&lt;&gt;"",AF75&lt;&gt;"")),1,"")</f>
        <v/>
      </c>
      <c r="AJ75" s="702"/>
      <c r="AK75" s="900">
        <f>MIN($H75,$L75,$Q75,$V75,$AA75,$AF75)</f>
        <v>0</v>
      </c>
      <c r="AL75" s="31"/>
      <c r="AM75" s="29"/>
      <c r="AN75" s="29"/>
      <c r="AO75" s="29"/>
      <c r="AP75" s="29"/>
    </row>
    <row r="76" spans="2:42" ht="15" customHeight="1">
      <c r="B76" s="33"/>
      <c r="C76" s="59"/>
      <c r="D76" s="85" t="s">
        <v>18</v>
      </c>
      <c r="E76" s="59"/>
      <c r="F76" s="294" t="str">
        <f>F$52</f>
        <v/>
      </c>
      <c r="G76" s="190"/>
      <c r="H76" s="590" t="str">
        <f>IF(AND(code0&lt;&gt;"",'I2'!$L$32&lt;&gt;""),'I2'!$L$32,"")</f>
        <v/>
      </c>
      <c r="I76" s="1"/>
      <c r="J76" s="892" t="str">
        <f t="shared" si="24"/>
        <v/>
      </c>
      <c r="K76" s="703"/>
      <c r="L76" s="590" t="str">
        <f>IF(AND(code0&lt;&gt;"",'I2'!$S$32&lt;&gt;""),'I2'!$S$32,"")</f>
        <v/>
      </c>
      <c r="M76" s="1"/>
      <c r="N76" s="892" t="str">
        <f t="shared" si="25"/>
        <v/>
      </c>
      <c r="O76" s="895" t="str">
        <f>IF(OR(AND(MAX(p_bus_move,p_buspax_move)=2,L76&gt;=$H76,p_tripquality=TRUE,$H76&lt;&gt;"",L76&lt;&gt;""),AND(MAX(p_bus_move,p_buspax_move)=1,L76&gt;$H76,p_tripquality=TRUE,$H76&lt;&gt;"",L76&lt;&gt;"")),1,"")</f>
        <v/>
      </c>
      <c r="P76" s="703"/>
      <c r="Q76" s="589" t="str">
        <f>IF(AND(code0&lt;&gt;"",'I2'!$Z$32&lt;&gt;""),'I2'!$Z$32,"")</f>
        <v/>
      </c>
      <c r="R76" s="1"/>
      <c r="S76" s="892" t="str">
        <f t="shared" si="26"/>
        <v/>
      </c>
      <c r="T76" s="895" t="str">
        <f>IF(OR(AND(MAX(p_bus_move,p_buspax_move)=2,Q76&gt;=$H76,p_tripquality=TRUE,$H76&lt;&gt;"",Q76&lt;&gt;""),AND(MAX(p_bus_move,p_buspax_move)=1,Q76&gt;$H76,p_tripquality=TRUE,$H76&lt;&gt;"",Q76&lt;&gt;"")),1,"")</f>
        <v/>
      </c>
      <c r="U76" s="703"/>
      <c r="V76" s="589" t="str">
        <f>IF(AND(code0&lt;&gt;"",'I2'!$AG$32&lt;&gt;""),'I2'!$AG$32,"")</f>
        <v/>
      </c>
      <c r="W76" s="1"/>
      <c r="X76" s="892" t="str">
        <f t="shared" si="27"/>
        <v/>
      </c>
      <c r="Y76" s="895" t="str">
        <f>IF(OR(AND(MAX(p_bus_move,p_buspax_move)=2,V76&gt;=$H76,p_tripquality=TRUE,$H76&lt;&gt;"",V76&lt;&gt;""),AND(MAX(p_bus_move,p_buspax_move)=1,V76&gt;$H76,p_tripquality=TRUE,$H76&lt;&gt;"",V76&lt;&gt;"")),1,"")</f>
        <v/>
      </c>
      <c r="Z76" s="703"/>
      <c r="AA76" s="589" t="str">
        <f>IF(AND(code0&lt;&gt;"",'I2'!$AN$32&lt;&gt;""),'I2'!$AN$32,"")</f>
        <v/>
      </c>
      <c r="AB76" s="1"/>
      <c r="AC76" s="892" t="str">
        <f t="shared" si="28"/>
        <v/>
      </c>
      <c r="AD76" s="895" t="str">
        <f>IF(OR(AND(MAX(p_bus_move,p_buspax_move)=2,AA76&gt;=$H76,p_tripquality=TRUE,$H76&lt;&gt;"",AA76&lt;&gt;""),AND(MAX(p_bus_move,p_buspax_move)=1,AA76&gt;$H76,p_tripquality=TRUE,$H76&lt;&gt;"",AA76&lt;&gt;"")),1,"")</f>
        <v/>
      </c>
      <c r="AE76" s="703"/>
      <c r="AF76" s="589" t="str">
        <f>IF(AND(code0&lt;&gt;"",'I2'!$AU$32&lt;&gt;""),'I2'!$AU$32,"")</f>
        <v/>
      </c>
      <c r="AG76" s="1"/>
      <c r="AH76" s="890" t="str">
        <f t="shared" si="29"/>
        <v/>
      </c>
      <c r="AI76" s="894" t="str">
        <f>IF(OR(AND(MAX(p_bus_move,p_buspax_move)=2,AF76&gt;=$H76,p_tripquality=TRUE,$H76&lt;&gt;"",AF76&lt;&gt;""),AND(MAX(p_bus_move,p_buspax_move)=1,AF76&gt;$H76,p_tripquality=TRUE,$H76&lt;&gt;"",AF76&lt;&gt;"")),1,"")</f>
        <v/>
      </c>
      <c r="AJ76" s="702"/>
      <c r="AK76" s="900">
        <f>MIN($H76,$L76,$Q76,$V76,$AA76,$AF76)</f>
        <v>0</v>
      </c>
      <c r="AL76" s="31"/>
      <c r="AM76" s="29"/>
      <c r="AN76" s="29"/>
      <c r="AO76" s="29"/>
      <c r="AP76" s="29"/>
    </row>
    <row r="77" spans="2:42" ht="15" customHeight="1">
      <c r="B77" s="33"/>
      <c r="C77" s="49" t="s">
        <v>259</v>
      </c>
      <c r="D77" s="47"/>
      <c r="F77" s="748"/>
      <c r="G77" s="748"/>
      <c r="H77" s="748"/>
      <c r="I77" s="1"/>
      <c r="J77" s="610"/>
      <c r="K77" s="704"/>
      <c r="L77" s="748"/>
      <c r="M77" s="1"/>
      <c r="N77" s="610"/>
      <c r="O77" s="711"/>
      <c r="P77" s="704"/>
      <c r="Q77" s="748"/>
      <c r="R77" s="1"/>
      <c r="S77" s="610"/>
      <c r="T77" s="711"/>
      <c r="U77" s="704"/>
      <c r="V77" s="748"/>
      <c r="W77" s="1"/>
      <c r="X77" s="610"/>
      <c r="Y77" s="711"/>
      <c r="Z77" s="704"/>
      <c r="AA77" s="748"/>
      <c r="AB77" s="1"/>
      <c r="AC77" s="610"/>
      <c r="AD77" s="711"/>
      <c r="AE77" s="704"/>
      <c r="AF77" s="748"/>
      <c r="AG77" s="1"/>
      <c r="AH77" s="610"/>
      <c r="AI77" s="711"/>
      <c r="AJ77" s="704"/>
      <c r="AK77" s="704"/>
      <c r="AL77" s="31"/>
      <c r="AM77" s="29"/>
      <c r="AN77" s="29"/>
      <c r="AO77" s="29"/>
      <c r="AP77" s="29"/>
    </row>
    <row r="78" spans="2:42" ht="15" customHeight="1">
      <c r="B78" s="33"/>
      <c r="C78" s="29"/>
      <c r="D78" s="47" t="s">
        <v>258</v>
      </c>
      <c r="F78" s="182" t="s">
        <v>293</v>
      </c>
      <c r="G78" s="182"/>
      <c r="H78" s="587" t="str">
        <f>IF(code0="","",'I1'!F47)</f>
        <v/>
      </c>
      <c r="I78" s="1"/>
      <c r="J78" s="890" t="str">
        <f t="shared" si="0"/>
        <v/>
      </c>
      <c r="K78" s="891" t="str">
        <f>IF(H78&lt;standard_car,1,"")</f>
        <v/>
      </c>
      <c r="L78" s="587" t="str">
        <f>IF(code1="","",'I1'!H47)</f>
        <v/>
      </c>
      <c r="M78" s="1"/>
      <c r="N78" s="890" t="str">
        <f t="shared" si="1"/>
        <v/>
      </c>
      <c r="O78" s="894" t="str">
        <f>IF(OR(AND(p_car_move=2,L78&lt;=$H78,p_tripquality=TRUE,$H78&lt;&gt;"",L78&lt;&gt;""),AND(p_car_move=1,L78&lt;$H78,p_tripquality=TRUE,$H78&lt;&gt;"",L78&lt;&gt;"")),1,"")</f>
        <v/>
      </c>
      <c r="P78" s="891" t="str">
        <f>IF(L78&lt;standard_car,1,"")</f>
        <v/>
      </c>
      <c r="Q78" s="587" t="str">
        <f>IF(code2="","",'I1'!J47)</f>
        <v/>
      </c>
      <c r="R78" s="1"/>
      <c r="S78" s="890" t="str">
        <f t="shared" si="2"/>
        <v/>
      </c>
      <c r="T78" s="894" t="str">
        <f>IF(OR(AND(p_car_move=2,Q78&lt;=$H78,p_tripquality=TRUE,$H78&lt;&gt;"",Q78&lt;&gt;""),AND(p_car_move=1,Q78&lt;$H78,p_tripquality=TRUE,$H78&lt;&gt;"",Q78&lt;&gt;"")),1,"")</f>
        <v/>
      </c>
      <c r="U78" s="891" t="str">
        <f>IF(Q78&lt;standard_car,1,"")</f>
        <v/>
      </c>
      <c r="V78" s="588" t="str">
        <f>IF(code3="","",'I1'!L47)</f>
        <v/>
      </c>
      <c r="W78" s="1"/>
      <c r="X78" s="890" t="str">
        <f t="shared" si="3"/>
        <v/>
      </c>
      <c r="Y78" s="894" t="str">
        <f>IF(OR(AND(p_car_move=2,V78&lt;=$H78,p_tripquality=TRUE,$H78&lt;&gt;"",V78&lt;&gt;""),AND(p_car_move=1,V78&lt;$H78,p_tripquality=TRUE,$H78&lt;&gt;"",V78&lt;&gt;"")),1,"")</f>
        <v/>
      </c>
      <c r="Z78" s="891" t="str">
        <f>IF(V78&lt;standard_car,1,"")</f>
        <v/>
      </c>
      <c r="AA78" s="588" t="str">
        <f>IF(code4="","",'I1'!N47)</f>
        <v/>
      </c>
      <c r="AB78" s="1"/>
      <c r="AC78" s="890" t="str">
        <f t="shared" si="4"/>
        <v/>
      </c>
      <c r="AD78" s="894" t="str">
        <f>IF(OR(AND(p_car_move=2,AA78&lt;=$H78,p_tripquality=TRUE,$H78&lt;&gt;"",AA78&lt;&gt;""),AND(p_car_move=1,AA78&lt;$H78,p_tripquality=TRUE,$H78&lt;&gt;"",AA78&lt;&gt;"")),1,"")</f>
        <v/>
      </c>
      <c r="AE78" s="891" t="str">
        <f>IF(AA78&lt;standard_car,1,"")</f>
        <v/>
      </c>
      <c r="AF78" s="588" t="str">
        <f>IF(code5="","",'I1'!P47)</f>
        <v/>
      </c>
      <c r="AG78" s="1"/>
      <c r="AH78" s="890" t="str">
        <f t="shared" si="5"/>
        <v/>
      </c>
      <c r="AI78" s="894" t="str">
        <f>IF(OR(AND(p_car_move=2,AF78&lt;=$H78,p_tripquality=TRUE,$H78&lt;&gt;"",AF78&lt;&gt;""),AND(p_car_move=1,AF78&lt;$H78,p_tripquality=TRUE,$H78&lt;&gt;"",AF78&lt;&gt;"")),1,"")</f>
        <v/>
      </c>
      <c r="AJ78" s="891" t="str">
        <f>IF(AF78&lt;standard_car,1,"")</f>
        <v/>
      </c>
      <c r="AK78" s="900">
        <f>MAX($H78,$L78,$Q78,$V78,$AA78,$AF78)</f>
        <v>0</v>
      </c>
      <c r="AL78" s="31"/>
      <c r="AM78" s="29"/>
      <c r="AN78" s="29"/>
      <c r="AO78" s="29"/>
      <c r="AP78" s="29"/>
    </row>
    <row r="79" spans="2:42" ht="15" customHeight="1">
      <c r="B79" s="33"/>
      <c r="C79" s="29"/>
      <c r="D79" s="47" t="s">
        <v>15</v>
      </c>
      <c r="F79" s="190" t="str">
        <f>F$47</f>
        <v/>
      </c>
      <c r="G79" s="190"/>
      <c r="H79" s="588" t="str">
        <f>IF(AND(code0&lt;&gt;"",'I2'!$G$33&lt;&gt;""),'I2'!$G$33,"")</f>
        <v/>
      </c>
      <c r="I79" s="1"/>
      <c r="J79" s="890" t="str">
        <f t="shared" si="0"/>
        <v/>
      </c>
      <c r="K79" s="702"/>
      <c r="L79" s="588" t="str">
        <f>IF(AND(code0&lt;&gt;"",'I2'!$N$33&lt;&gt;""),'I2'!$N$33,"")</f>
        <v/>
      </c>
      <c r="M79" s="1"/>
      <c r="N79" s="890" t="str">
        <f t="shared" si="1"/>
        <v/>
      </c>
      <c r="O79" s="894" t="str">
        <f>IF(OR(AND(p_car_move=2,L79&lt;=$H79,p_trips=TRUE,$H79&lt;&gt;"",L79&lt;&gt;""),AND(p_car_move=1,L79&lt;$H79,p_trips=TRUE,$H79&lt;&gt;"",L79&lt;&gt;"")),1,"")</f>
        <v/>
      </c>
      <c r="P79" s="702"/>
      <c r="Q79" s="588" t="str">
        <f>IF(AND(code0&lt;&gt;"",'I2'!$U$33&lt;&gt;""),'I2'!$U$33,"")</f>
        <v/>
      </c>
      <c r="R79" s="1"/>
      <c r="S79" s="890" t="str">
        <f t="shared" si="2"/>
        <v/>
      </c>
      <c r="T79" s="894" t="str">
        <f>IF(OR(AND(p_car_move=2,Q79&lt;=$H79,p_trips=TRUE,$H79&lt;&gt;"",Q79&lt;&gt;""),AND(p_car_move=1,Q79&lt;$H79,p_trips=TRUE,$H79&lt;&gt;"",Q79&lt;&gt;"")),1,"")</f>
        <v/>
      </c>
      <c r="U79" s="702"/>
      <c r="V79" s="588" t="str">
        <f>IF(AND(code0&lt;&gt;"",'I2'!$AB$33&lt;&gt;""),'I2'!$AB$33,"")</f>
        <v/>
      </c>
      <c r="W79" s="1"/>
      <c r="X79" s="890" t="str">
        <f t="shared" si="3"/>
        <v/>
      </c>
      <c r="Y79" s="894" t="str">
        <f>IF(OR(AND(p_car_move=2,V79&lt;=$H79,p_trips=TRUE,$H79&lt;&gt;"",V79&lt;&gt;""),AND(p_car_move=1,V79&lt;$H79,p_trips=TRUE,$H79&lt;&gt;"",V79&lt;&gt;"")),1,"")</f>
        <v/>
      </c>
      <c r="Z79" s="702"/>
      <c r="AA79" s="588" t="str">
        <f>IF(AND(code0&lt;&gt;"",'I2'!$AI$33&lt;&gt;""),'I2'!$AI$33,"")</f>
        <v/>
      </c>
      <c r="AB79" s="1"/>
      <c r="AC79" s="890" t="str">
        <f t="shared" si="4"/>
        <v/>
      </c>
      <c r="AD79" s="894" t="str">
        <f>IF(OR(AND(p_car_move=2,AA79&lt;=$H79,p_trips=TRUE,$H79&lt;&gt;"",AA79&lt;&gt;""),AND(p_car_move=1,AA79&lt;$H79,p_trips=TRUE,$H79&lt;&gt;"",AA79&lt;&gt;"")),1,"")</f>
        <v/>
      </c>
      <c r="AE79" s="702"/>
      <c r="AF79" s="588" t="str">
        <f>IF(AND(code0&lt;&gt;"",'I2'!$AP$33&lt;&gt;""),'I2'!$AP$33,"")</f>
        <v/>
      </c>
      <c r="AG79" s="1"/>
      <c r="AH79" s="890" t="str">
        <f t="shared" si="5"/>
        <v/>
      </c>
      <c r="AI79" s="894" t="str">
        <f>IF(OR(AND(p_car_move=2,AF79&lt;=$H79,p_trips=TRUE,$H79&lt;&gt;"",AF79&lt;&gt;""),AND(p_car_move=1,AF79&lt;$H79,p_trips=TRUE,$H79&lt;&gt;"",AF79&lt;&gt;"")),1,"")</f>
        <v/>
      </c>
      <c r="AJ79" s="702"/>
      <c r="AK79" s="900">
        <f>MAX($H79,$L79,$Q79,$V79,$AA79,$AF79)</f>
        <v>0</v>
      </c>
      <c r="AL79" s="31"/>
      <c r="AM79" s="29"/>
      <c r="AN79" s="29"/>
      <c r="AO79" s="29"/>
      <c r="AP79" s="29"/>
    </row>
    <row r="80" spans="2:42" ht="15" customHeight="1">
      <c r="B80" s="33"/>
      <c r="C80" s="29"/>
      <c r="D80" s="47" t="s">
        <v>297</v>
      </c>
      <c r="F80" s="190" t="str">
        <f>F$48</f>
        <v/>
      </c>
      <c r="G80" s="190"/>
      <c r="H80" s="587" t="str">
        <f>IF(AND(code0&lt;&gt;"",'I2'!$H$33&lt;&gt;""),'I2'!$H$33,"")</f>
        <v/>
      </c>
      <c r="I80" s="1"/>
      <c r="J80" s="890" t="str">
        <f t="shared" si="0"/>
        <v/>
      </c>
      <c r="K80" s="702"/>
      <c r="L80" s="587" t="str">
        <f>IF(AND(code0&lt;&gt;"",'I2'!$O$33&lt;&gt;""),'I2'!$O$33,"")</f>
        <v/>
      </c>
      <c r="M80" s="1"/>
      <c r="N80" s="890" t="str">
        <f t="shared" si="1"/>
        <v/>
      </c>
      <c r="O80" s="894" t="str">
        <f>IF(OR(AND(p_car_move=2,L80&lt;=$H80,p_traveltime=TRUE,$H80&lt;&gt;"",L80&lt;&gt;""),AND(p_car_move=1,L80&lt;$H80,p_traveltime=TRUE,$H80&lt;&gt;"",L80&lt;&gt;"")),1,"")</f>
        <v/>
      </c>
      <c r="P80" s="702"/>
      <c r="Q80" s="587" t="str">
        <f>IF(AND(code0&lt;&gt;"",'I2'!$V$33&lt;&gt;""),'I2'!$V$33,"")</f>
        <v/>
      </c>
      <c r="R80" s="1"/>
      <c r="S80" s="890" t="str">
        <f t="shared" si="2"/>
        <v/>
      </c>
      <c r="T80" s="894" t="str">
        <f>IF(OR(AND(p_car_move=2,Q80&lt;=$H80,p_traveltime=TRUE,$H80&lt;&gt;"",Q80&lt;&gt;""),AND(p_car_move=1,Q80&lt;$H80,p_traveltime=TRUE,$H80&lt;&gt;"",Q80&lt;&gt;"")),1,"")</f>
        <v/>
      </c>
      <c r="U80" s="702"/>
      <c r="V80" s="587" t="str">
        <f>IF(AND(code0&lt;&gt;"",'I2'!$AC$33&lt;&gt;""),'I2'!$AC$33,"")</f>
        <v/>
      </c>
      <c r="W80" s="1"/>
      <c r="X80" s="890" t="str">
        <f t="shared" si="3"/>
        <v/>
      </c>
      <c r="Y80" s="894" t="str">
        <f>IF(OR(AND(p_car_move=2,V80&lt;=$H80,p_traveltime=TRUE,$H80&lt;&gt;"",V80&lt;&gt;""),AND(p_car_move=1,V80&lt;$H80,p_traveltime=TRUE,$H80&lt;&gt;"",V80&lt;&gt;"")),1,"")</f>
        <v/>
      </c>
      <c r="Z80" s="702"/>
      <c r="AA80" s="587" t="str">
        <f>IF(AND(code0&lt;&gt;"",'I2'!$AJ$33&lt;&gt;""),'I2'!$AJ$33,"")</f>
        <v/>
      </c>
      <c r="AB80" s="1"/>
      <c r="AC80" s="890" t="str">
        <f t="shared" si="4"/>
        <v/>
      </c>
      <c r="AD80" s="894" t="str">
        <f>IF(OR(AND(p_car_move=2,AA80&lt;=$H80,p_traveltime=TRUE,$H80&lt;&gt;"",AA80&lt;&gt;""),AND(p_car_move=1,AA80&lt;$H80,p_traveltime=TRUE,$H80&lt;&gt;"",AA80&lt;&gt;"")),1,"")</f>
        <v/>
      </c>
      <c r="AE80" s="702"/>
      <c r="AF80" s="587" t="str">
        <f>IF(AND(code0&lt;&gt;"",'I2'!$AQ$33&lt;&gt;""),'I2'!$AQ$33,"")</f>
        <v/>
      </c>
      <c r="AG80" s="1"/>
      <c r="AH80" s="890" t="str">
        <f t="shared" si="5"/>
        <v/>
      </c>
      <c r="AI80" s="894" t="str">
        <f>IF(OR(AND(p_car_move=2,AF80&lt;=$H80,p_traveltime=TRUE,$H80&lt;&gt;"",AF80&lt;&gt;""),AND(p_car_move=1,AF80&lt;$H80,p_traveltime=TRUE,$H80&lt;&gt;"",AF80&lt;&gt;"")),1,"")</f>
        <v/>
      </c>
      <c r="AJ80" s="702"/>
      <c r="AK80" s="900">
        <f>MAX($H80,$L80,$Q80,$V80,$AA80,$AF80)</f>
        <v>0</v>
      </c>
      <c r="AL80" s="31"/>
      <c r="AM80" s="29"/>
      <c r="AN80" s="29"/>
      <c r="AO80" s="29"/>
      <c r="AP80" s="29"/>
    </row>
    <row r="81" spans="2:42" ht="15" customHeight="1">
      <c r="B81" s="33"/>
      <c r="C81" s="29"/>
      <c r="D81" s="47" t="s">
        <v>296</v>
      </c>
      <c r="F81" s="190" t="str">
        <f>F$49</f>
        <v/>
      </c>
      <c r="G81" s="190"/>
      <c r="H81" s="587" t="str">
        <f>IF(AND(code0&lt;&gt;"",'I2'!$I$33&lt;&gt;""),'I2'!$I$33,"")</f>
        <v/>
      </c>
      <c r="I81" s="1"/>
      <c r="J81" s="890" t="str">
        <f t="shared" ref="J81:J84" si="30">IF(H81=$AK81,1,"")</f>
        <v/>
      </c>
      <c r="K81" s="702"/>
      <c r="L81" s="587" t="str">
        <f>IF(AND(code0&lt;&gt;"",'I2'!$P$33&lt;&gt;""),'I2'!$P$33,"")</f>
        <v/>
      </c>
      <c r="M81" s="1"/>
      <c r="N81" s="890" t="str">
        <f t="shared" ref="N81:N84" si="31">IF(L81=$AK81,1,"")</f>
        <v/>
      </c>
      <c r="O81" s="894" t="str">
        <f>IF(OR(AND(p_car_move=2,L81&lt;=$H81,p_traveltime=TRUE,$H81&lt;&gt;"",L81&lt;&gt;""),AND(p_car_move=1,L81&lt;$H81,p_traveltime=TRUE,$H81&lt;&gt;"",L81&lt;&gt;"")),1,"")</f>
        <v/>
      </c>
      <c r="P81" s="702"/>
      <c r="Q81" s="587" t="str">
        <f>IF(AND(code0&lt;&gt;"",'I2'!$W$33&lt;&gt;""),'I2'!$W$33,"")</f>
        <v/>
      </c>
      <c r="R81" s="1"/>
      <c r="S81" s="890" t="str">
        <f t="shared" ref="S81:S84" si="32">IF(Q81=$AK81,1,"")</f>
        <v/>
      </c>
      <c r="T81" s="894" t="str">
        <f>IF(OR(AND(p_car_move=2,Q81&lt;=$H81,p_traveltime=TRUE,$H81&lt;&gt;"",Q81&lt;&gt;""),AND(p_car_move=1,Q81&lt;$H81,p_traveltime=TRUE,$H81&lt;&gt;"",Q81&lt;&gt;"")),1,"")</f>
        <v/>
      </c>
      <c r="U81" s="702"/>
      <c r="V81" s="587" t="str">
        <f>IF(AND(code0&lt;&gt;"",'I2'!$AD$33&lt;&gt;""),'I2'!$AD$33,"")</f>
        <v/>
      </c>
      <c r="W81" s="1"/>
      <c r="X81" s="890" t="str">
        <f t="shared" ref="X81:X84" si="33">IF(V81=$AK81,1,"")</f>
        <v/>
      </c>
      <c r="Y81" s="894" t="str">
        <f>IF(OR(AND(p_car_move=2,V81&lt;=$H81,p_traveltime=TRUE,$H81&lt;&gt;"",V81&lt;&gt;""),AND(p_car_move=1,V81&lt;$H81,p_traveltime=TRUE,$H81&lt;&gt;"",V81&lt;&gt;"")),1,"")</f>
        <v/>
      </c>
      <c r="Z81" s="702"/>
      <c r="AA81" s="587" t="str">
        <f>IF(AND(code0&lt;&gt;"",'I2'!$AK$33&lt;&gt;""),'I2'!$AK$33,"")</f>
        <v/>
      </c>
      <c r="AB81" s="1"/>
      <c r="AC81" s="890" t="str">
        <f t="shared" ref="AC81:AC84" si="34">IF(AA81=$AK81,1,"")</f>
        <v/>
      </c>
      <c r="AD81" s="894" t="str">
        <f>IF(OR(AND(p_car_move=2,AA81&lt;=$H81,p_traveltime=TRUE,$H81&lt;&gt;"",AA81&lt;&gt;""),AND(p_car_move=1,AA81&lt;$H81,p_traveltime=TRUE,$H81&lt;&gt;"",AA81&lt;&gt;"")),1,"")</f>
        <v/>
      </c>
      <c r="AE81" s="702"/>
      <c r="AF81" s="587" t="str">
        <f>IF(AND(code0&lt;&gt;"",'I2'!$AR$33&lt;&gt;""),'I2'!$AR$33,"")</f>
        <v/>
      </c>
      <c r="AG81" s="1"/>
      <c r="AH81" s="890" t="str">
        <f t="shared" ref="AH81:AH84" si="35">IF(AF81=$AK81,1,"")</f>
        <v/>
      </c>
      <c r="AI81" s="894" t="str">
        <f>IF(OR(AND(p_car_move=2,AF81&lt;=$H81,p_traveltime=TRUE,$H81&lt;&gt;"",AF81&lt;&gt;""),AND(p_car_move=1,AF81&lt;$H81,p_traveltime=TRUE,$H81&lt;&gt;"",AF81&lt;&gt;"")),1,"")</f>
        <v/>
      </c>
      <c r="AJ81" s="702"/>
      <c r="AK81" s="900">
        <f>MIN($H81,$L81,$Q81,$V81,$AA81,$AF81)</f>
        <v>0</v>
      </c>
      <c r="AL81" s="31"/>
      <c r="AM81" s="29"/>
      <c r="AN81" s="29"/>
      <c r="AO81" s="29"/>
      <c r="AP81" s="29"/>
    </row>
    <row r="82" spans="2:42" ht="15" customHeight="1">
      <c r="B82" s="33"/>
      <c r="C82" s="29"/>
      <c r="D82" s="47" t="s">
        <v>19</v>
      </c>
      <c r="F82" s="190" t="str">
        <f>F$50</f>
        <v/>
      </c>
      <c r="G82" s="190"/>
      <c r="H82" s="587" t="str">
        <f>IF(AND(code0&lt;&gt;"",'I2'!$J$33&lt;&gt;""),'I2'!$J$33,"")</f>
        <v/>
      </c>
      <c r="I82" s="1"/>
      <c r="J82" s="890" t="str">
        <f t="shared" si="30"/>
        <v/>
      </c>
      <c r="K82" s="702"/>
      <c r="L82" s="587" t="str">
        <f>IF(AND(code0&lt;&gt;"",'I2'!$Q$33&lt;&gt;""),'I2'!$Q$33,"")</f>
        <v/>
      </c>
      <c r="M82" s="1"/>
      <c r="N82" s="890" t="str">
        <f t="shared" si="31"/>
        <v/>
      </c>
      <c r="O82" s="894" t="str">
        <f>IF(OR(AND(p_car_move=2,L82&lt;=$H82,p_congestion=TRUE,$H82&lt;&gt;"",L82&lt;&gt;""),AND(p_car_move=1,L82&lt;$H82,p_congestion=TRUE,$H82&lt;&gt;"",L82&lt;&gt;"")),1,"")</f>
        <v/>
      </c>
      <c r="P82" s="702"/>
      <c r="Q82" s="587" t="str">
        <f>IF(AND(code0&lt;&gt;"",'I2'!$X$33&lt;&gt;""),'I2'!$X$33,"")</f>
        <v/>
      </c>
      <c r="R82" s="1"/>
      <c r="S82" s="890" t="str">
        <f t="shared" si="32"/>
        <v/>
      </c>
      <c r="T82" s="894" t="str">
        <f>IF(OR(AND(p_car_move=2,Q82&lt;=$H82,p_congestion=TRUE,$H82&lt;&gt;"",Q82&lt;&gt;""),AND(p_car_move=1,Q82&lt;$H82,p_congestion=TRUE,$H82&lt;&gt;"",Q82&lt;&gt;"")),1,"")</f>
        <v/>
      </c>
      <c r="U82" s="702"/>
      <c r="V82" s="587" t="str">
        <f>IF(AND(code0&lt;&gt;"",'I2'!$AE$33&lt;&gt;""),'I2'!$AE$33,"")</f>
        <v/>
      </c>
      <c r="W82" s="1"/>
      <c r="X82" s="890" t="str">
        <f t="shared" si="33"/>
        <v/>
      </c>
      <c r="Y82" s="894" t="str">
        <f>IF(OR(AND(p_car_move=2,V82&lt;=$H82,p_congestion=TRUE,$H82&lt;&gt;"",V82&lt;&gt;""),AND(p_car_move=1,V82&lt;$H82,p_congestion=TRUE,$H82&lt;&gt;"",V82&lt;&gt;"")),1,"")</f>
        <v/>
      </c>
      <c r="Z82" s="702"/>
      <c r="AA82" s="587" t="str">
        <f>IF(AND(code0&lt;&gt;"",'I2'!$AL$33&lt;&gt;""),'I2'!$AL$33,"")</f>
        <v/>
      </c>
      <c r="AB82" s="1"/>
      <c r="AC82" s="890" t="str">
        <f t="shared" si="34"/>
        <v/>
      </c>
      <c r="AD82" s="894" t="str">
        <f>IF(OR(AND(p_car_move=2,AA82&lt;=$H82,p_congestion=TRUE,$H82&lt;&gt;"",AA82&lt;&gt;""),AND(p_car_move=1,AA82&lt;$H82,p_congestion=TRUE,$H82&lt;&gt;"",AA82&lt;&gt;"")),1,"")</f>
        <v/>
      </c>
      <c r="AE82" s="702"/>
      <c r="AF82" s="587" t="str">
        <f>IF(AND(code0&lt;&gt;"",'I2'!$AS$33&lt;&gt;""),'I2'!$AS$33,"")</f>
        <v/>
      </c>
      <c r="AG82" s="1"/>
      <c r="AH82" s="890" t="str">
        <f t="shared" si="35"/>
        <v/>
      </c>
      <c r="AI82" s="894" t="str">
        <f>IF(OR(AND(p_car_move=2,AF82&lt;=$H82,p_congestion=TRUE,$H82&lt;&gt;"",AF82&lt;&gt;""),AND(p_car_move=1,AF82&lt;$H82,p_congestion=TRUE,$H82&lt;&gt;"",AF82&lt;&gt;"")),1,"")</f>
        <v/>
      </c>
      <c r="AJ82" s="702"/>
      <c r="AK82" s="900">
        <f>MIN($H82,$L82,$Q82,$V82,$AA82,$AF82)</f>
        <v>0</v>
      </c>
      <c r="AL82" s="31"/>
      <c r="AM82" s="29"/>
      <c r="AN82" s="29"/>
      <c r="AO82" s="29"/>
      <c r="AP82" s="29"/>
    </row>
    <row r="83" spans="2:42" ht="15" customHeight="1">
      <c r="B83" s="33"/>
      <c r="C83" s="29"/>
      <c r="D83" s="47" t="s">
        <v>16</v>
      </c>
      <c r="F83" s="190" t="str">
        <f>F$51</f>
        <v/>
      </c>
      <c r="G83" s="190"/>
      <c r="H83" s="587" t="str">
        <f>IF(AND(code0&lt;&gt;"",'I2'!$K$33&lt;&gt;""),'I2'!$K$33,"")</f>
        <v/>
      </c>
      <c r="I83" s="1"/>
      <c r="J83" s="890" t="str">
        <f t="shared" si="30"/>
        <v/>
      </c>
      <c r="K83" s="702"/>
      <c r="L83" s="587" t="str">
        <f>IF(AND(code0&lt;&gt;"",'I2'!$R$33&lt;&gt;""),'I2'!$R$33,"")</f>
        <v/>
      </c>
      <c r="M83" s="1"/>
      <c r="N83" s="890" t="str">
        <f t="shared" si="31"/>
        <v/>
      </c>
      <c r="O83" s="894" t="str">
        <f>IF(OR(AND(p_car_move=2,L83&lt;=$H83,p_reliability=TRUE,$H83&lt;&gt;"",L83&lt;&gt;""),AND(p_car_move=1,L83&lt;$H83,p_reliability=TRUE,$H83&lt;&gt;"",L83&lt;&gt;"")),1,"")</f>
        <v/>
      </c>
      <c r="P83" s="702"/>
      <c r="Q83" s="587" t="str">
        <f>IF(AND(code0&lt;&gt;"",'I2'!$Y$33&lt;&gt;""),'I2'!$Y$33,"")</f>
        <v/>
      </c>
      <c r="R83" s="1"/>
      <c r="S83" s="890" t="str">
        <f t="shared" si="32"/>
        <v/>
      </c>
      <c r="T83" s="894" t="str">
        <f>IF(OR(AND(p_car_move=2,Q83&lt;=$H83,p_reliability=TRUE,$H83&lt;&gt;"",Q83&lt;&gt;""),AND(p_car_move=1,Q83&lt;$H83,p_reliability=TRUE,$H83&lt;&gt;"",Q83&lt;&gt;"")),1,"")</f>
        <v/>
      </c>
      <c r="U83" s="702"/>
      <c r="V83" s="587" t="str">
        <f>IF(AND(code0&lt;&gt;"",'I2'!$AF$33&lt;&gt;""),'I2'!$AF$33,"")</f>
        <v/>
      </c>
      <c r="W83" s="1"/>
      <c r="X83" s="890" t="str">
        <f t="shared" si="33"/>
        <v/>
      </c>
      <c r="Y83" s="894" t="str">
        <f>IF(OR(AND(p_car_move=2,V83&lt;=$H83,p_reliability=TRUE,$H83&lt;&gt;"",V83&lt;&gt;""),AND(p_car_move=1,V83&lt;$H83,p_reliability=TRUE,$H83&lt;&gt;"",V83&lt;&gt;"")),1,"")</f>
        <v/>
      </c>
      <c r="Z83" s="702"/>
      <c r="AA83" s="587" t="str">
        <f>IF(AND(code0&lt;&gt;"",'I2'!$AM$33&lt;&gt;""),'I2'!$AM$33,"")</f>
        <v/>
      </c>
      <c r="AB83" s="1"/>
      <c r="AC83" s="890" t="str">
        <f t="shared" si="34"/>
        <v/>
      </c>
      <c r="AD83" s="894" t="str">
        <f>IF(OR(AND(p_car_move=2,AA83&lt;=$H83,p_reliability=TRUE,$H83&lt;&gt;"",AA83&lt;&gt;""),AND(p_car_move=1,AA83&lt;$H83,p_reliability=TRUE,$H83&lt;&gt;"",AA83&lt;&gt;"")),1,"")</f>
        <v/>
      </c>
      <c r="AE83" s="702"/>
      <c r="AF83" s="587" t="str">
        <f>IF(AND(code0&lt;&gt;"",'I2'!$AT$33&lt;&gt;""),'I2'!$AT$33,"")</f>
        <v/>
      </c>
      <c r="AG83" s="1"/>
      <c r="AH83" s="890" t="str">
        <f t="shared" si="35"/>
        <v/>
      </c>
      <c r="AI83" s="894" t="str">
        <f>IF(OR(AND(p_car_move=2,AF83&lt;=$H83,p_reliability=TRUE,$H83&lt;&gt;"",AF83&lt;&gt;""),AND(p_car_move=1,AF83&lt;$H83,p_reliability=TRUE,$H83&lt;&gt;"",AF83&lt;&gt;"")),1,"")</f>
        <v/>
      </c>
      <c r="AJ83" s="702"/>
      <c r="AK83" s="900">
        <f>MIN($H83,$L83,$Q83,$V83,$AA83,$AF83)</f>
        <v>0</v>
      </c>
      <c r="AL83" s="31"/>
      <c r="AM83" s="29"/>
      <c r="AN83" s="29"/>
      <c r="AO83" s="29"/>
      <c r="AP83" s="29"/>
    </row>
    <row r="84" spans="2:42" ht="15" customHeight="1">
      <c r="B84" s="33"/>
      <c r="C84" s="59"/>
      <c r="D84" s="85" t="s">
        <v>18</v>
      </c>
      <c r="E84" s="59"/>
      <c r="F84" s="294" t="str">
        <f>F$52</f>
        <v/>
      </c>
      <c r="G84" s="190"/>
      <c r="H84" s="916" t="str">
        <f>IF(AND(code0&lt;&gt;"",'I2'!$L$33&lt;&gt;""),'I2'!$L$33,"")</f>
        <v/>
      </c>
      <c r="I84" s="1"/>
      <c r="J84" s="892" t="str">
        <f t="shared" si="30"/>
        <v/>
      </c>
      <c r="K84" s="703"/>
      <c r="L84" s="589" t="str">
        <f>IF(AND(code0&lt;&gt;"",'I2'!$S$33&lt;&gt;""),'I2'!$S$33,"")</f>
        <v/>
      </c>
      <c r="M84" s="1"/>
      <c r="N84" s="892" t="str">
        <f t="shared" si="31"/>
        <v/>
      </c>
      <c r="O84" s="895" t="str">
        <f>IF(OR(AND(p_car_move=2,L84&gt;=$H84,p_tripquality=TRUE,$H84&lt;&gt;"",L84&lt;&gt;""),AND(p_car_move=1,L84&gt;$H84,p_tripquality=TRUE,$H84&lt;&gt;"",L84&lt;&gt;"")),1,"")</f>
        <v/>
      </c>
      <c r="P84" s="703"/>
      <c r="Q84" s="590" t="str">
        <f>IF(AND(code0&lt;&gt;"",'I2'!$Z$33&lt;&gt;""),'I2'!$Z$33,"")</f>
        <v/>
      </c>
      <c r="R84" s="1"/>
      <c r="S84" s="892" t="str">
        <f t="shared" si="32"/>
        <v/>
      </c>
      <c r="T84" s="895" t="str">
        <f>IF(OR(AND(p_car_move=2,Q84&gt;=$H84,p_tripquality=TRUE,$H84&lt;&gt;"",Q84&lt;&gt;""),AND(p_car_move=1,Q84&gt;$H84,p_tripquality=TRUE,$H84&lt;&gt;"",Q84&lt;&gt;"")),1,"")</f>
        <v/>
      </c>
      <c r="U84" s="703"/>
      <c r="V84" s="590" t="str">
        <f>IF(AND(code0&lt;&gt;"",'I2'!$AG$33&lt;&gt;""),'I2'!$AG$33,"")</f>
        <v/>
      </c>
      <c r="W84" s="1"/>
      <c r="X84" s="892" t="str">
        <f t="shared" si="33"/>
        <v/>
      </c>
      <c r="Y84" s="895" t="str">
        <f>IF(OR(AND(p_car_move=2,V84&gt;=$H84,p_tripquality=TRUE,$H84&lt;&gt;"",V84&lt;&gt;""),AND(p_car_move=1,V84&gt;$H84,p_tripquality=TRUE,$H84&lt;&gt;"",V84&lt;&gt;"")),1,"")</f>
        <v/>
      </c>
      <c r="Z84" s="703"/>
      <c r="AA84" s="590" t="str">
        <f>IF(AND(code0&lt;&gt;"",'I2'!$AN$33&lt;&gt;""),'I2'!$AN$33,"")</f>
        <v/>
      </c>
      <c r="AB84" s="1"/>
      <c r="AC84" s="892" t="str">
        <f t="shared" si="34"/>
        <v/>
      </c>
      <c r="AD84" s="895" t="str">
        <f>IF(OR(AND(p_car_move=2,AA84&gt;=$H84,p_tripquality=TRUE,$H84&lt;&gt;"",AA84&lt;&gt;""),AND(p_car_move=1,AA84&gt;$H84,p_tripquality=TRUE,$H84&lt;&gt;"",AA84&lt;&gt;"")),1,"")</f>
        <v/>
      </c>
      <c r="AE84" s="703"/>
      <c r="AF84" s="590" t="str">
        <f>IF(AND(code0&lt;&gt;"",'I2'!$AU$33&lt;&gt;""),'I2'!$AU$33,"")</f>
        <v/>
      </c>
      <c r="AG84" s="1"/>
      <c r="AH84" s="890" t="str">
        <f t="shared" si="35"/>
        <v/>
      </c>
      <c r="AI84" s="894" t="str">
        <f>IF(OR(AND(p_car_move=2,AF84&gt;=$H84,p_tripquality=TRUE,$H84&lt;&gt;"",AF84&lt;&gt;""),AND(p_car_move=1,AF84&gt;$H84,p_tripquality=TRUE,$H84&lt;&gt;"",AF84&lt;&gt;"")),1,"")</f>
        <v/>
      </c>
      <c r="AJ84" s="702"/>
      <c r="AK84" s="900">
        <f>MIN($H84,$L84,$Q84,$V84,$AA84,$AF84)</f>
        <v>0</v>
      </c>
      <c r="AL84" s="31"/>
      <c r="AM84" s="29"/>
      <c r="AN84" s="29"/>
      <c r="AO84" s="29"/>
      <c r="AP84" s="29"/>
    </row>
    <row r="85" spans="2:42" ht="15" customHeight="1">
      <c r="B85" s="33"/>
      <c r="C85" s="49" t="s">
        <v>99</v>
      </c>
      <c r="D85" s="47"/>
      <c r="F85" s="748"/>
      <c r="G85" s="748"/>
      <c r="H85" s="748"/>
      <c r="I85" s="1"/>
      <c r="J85" s="610"/>
      <c r="K85" s="704"/>
      <c r="L85" s="748"/>
      <c r="M85" s="1"/>
      <c r="N85" s="610"/>
      <c r="O85" s="711"/>
      <c r="P85" s="704"/>
      <c r="Q85" s="748"/>
      <c r="R85" s="1"/>
      <c r="S85" s="610"/>
      <c r="T85" s="711"/>
      <c r="U85" s="704"/>
      <c r="V85" s="748"/>
      <c r="W85" s="1"/>
      <c r="X85" s="610"/>
      <c r="Y85" s="711"/>
      <c r="Z85" s="704"/>
      <c r="AA85" s="748"/>
      <c r="AB85" s="1"/>
      <c r="AC85" s="610"/>
      <c r="AD85" s="711"/>
      <c r="AE85" s="704"/>
      <c r="AF85" s="748"/>
      <c r="AG85" s="1"/>
      <c r="AH85" s="610"/>
      <c r="AI85" s="711"/>
      <c r="AJ85" s="704"/>
      <c r="AK85" s="704"/>
      <c r="AL85" s="31"/>
      <c r="AM85" s="29"/>
      <c r="AN85" s="29"/>
      <c r="AO85" s="29"/>
      <c r="AP85" s="29"/>
    </row>
    <row r="86" spans="2:42" ht="15" customHeight="1">
      <c r="B86" s="33"/>
      <c r="C86" s="29"/>
      <c r="D86" s="47" t="s">
        <v>258</v>
      </c>
      <c r="F86" s="182" t="s">
        <v>293</v>
      </c>
      <c r="G86" s="182"/>
      <c r="H86" s="587" t="str">
        <f>IF(code0="","",'I1'!F47)</f>
        <v/>
      </c>
      <c r="I86" s="1"/>
      <c r="J86" s="890" t="str">
        <f t="shared" si="0"/>
        <v/>
      </c>
      <c r="K86" s="891" t="str">
        <f>IF(H86&lt;standard_car,1,"")</f>
        <v/>
      </c>
      <c r="L86" s="587" t="str">
        <f>IF(code1="","",'I1'!H47)</f>
        <v/>
      </c>
      <c r="M86" s="1"/>
      <c r="N86" s="890" t="str">
        <f t="shared" si="1"/>
        <v/>
      </c>
      <c r="O86" s="894" t="str">
        <f>IF(OR(AND(p_moto=2,L86&lt;=$H86,p_tripquality=TRUE,$H86&lt;&gt;"",L86&lt;&gt;""),AND(p_moto=1,L86&lt;$H86,p_tripquality=TRUE,$H86&lt;&gt;"",L86&lt;&gt;"")),1,"")</f>
        <v/>
      </c>
      <c r="P86" s="891" t="str">
        <f>IF(L86&lt;standard_car,1,"")</f>
        <v/>
      </c>
      <c r="Q86" s="587" t="str">
        <f>IF(code2="","",'I1'!J47)</f>
        <v/>
      </c>
      <c r="R86" s="1"/>
      <c r="S86" s="890" t="str">
        <f t="shared" si="2"/>
        <v/>
      </c>
      <c r="T86" s="894" t="str">
        <f>IF(OR(AND(p_moto=2,Q86&lt;=$H86,p_tripquality=TRUE,$H86&lt;&gt;"",Q86&lt;&gt;""),AND(p_moto=1,Q86&lt;$H86,p_tripquality=TRUE,$H86&lt;&gt;"",Q86&lt;&gt;"")),1,"")</f>
        <v/>
      </c>
      <c r="U86" s="891" t="str">
        <f>IF(Q86&lt;standard_car,1,"")</f>
        <v/>
      </c>
      <c r="V86" s="587" t="str">
        <f>IF(code3="","",'I1'!L47)</f>
        <v/>
      </c>
      <c r="W86" s="1"/>
      <c r="X86" s="890" t="str">
        <f t="shared" si="3"/>
        <v/>
      </c>
      <c r="Y86" s="894" t="str">
        <f>IF(OR(AND(p_moto=2,V86&lt;=$H86,p_tripquality=TRUE,$H86&lt;&gt;"",V86&lt;&gt;""),AND(p_moto=1,V86&lt;$H86,p_tripquality=TRUE,$H86&lt;&gt;"",V86&lt;&gt;"")),1,"")</f>
        <v/>
      </c>
      <c r="Z86" s="891" t="str">
        <f>IF(V86&lt;standard_car,1,"")</f>
        <v/>
      </c>
      <c r="AA86" s="587" t="str">
        <f>IF(code4="","",'I1'!N47)</f>
        <v/>
      </c>
      <c r="AB86" s="1"/>
      <c r="AC86" s="890" t="str">
        <f t="shared" si="4"/>
        <v/>
      </c>
      <c r="AD86" s="894" t="str">
        <f>IF(OR(AND(p_moto=2,AA86&lt;=$H86,p_tripquality=TRUE,$H86&lt;&gt;"",AA86&lt;&gt;""),AND(p_moto=1,AA86&lt;$H86,p_tripquality=TRUE,$H86&lt;&gt;"",AA86&lt;&gt;"")),1,"")</f>
        <v/>
      </c>
      <c r="AE86" s="891" t="str">
        <f>IF(AA86&lt;standard_car,1,"")</f>
        <v/>
      </c>
      <c r="AF86" s="587" t="str">
        <f>IF(code5="","",'I1'!P47)</f>
        <v/>
      </c>
      <c r="AG86" s="1"/>
      <c r="AH86" s="890" t="str">
        <f t="shared" si="5"/>
        <v/>
      </c>
      <c r="AI86" s="894" t="str">
        <f>IF(OR(AND(p_moto=2,AF86&lt;=$H86,p_tripquality=TRUE,$H86&lt;&gt;"",AF86&lt;&gt;""),AND(p_moto=1,AF86&lt;$H86,p_tripquality=TRUE,$H86&lt;&gt;"",AF86&lt;&gt;"")),1,"")</f>
        <v/>
      </c>
      <c r="AJ86" s="891" t="str">
        <f>IF(AF86&lt;standard_car,1,"")</f>
        <v/>
      </c>
      <c r="AK86" s="900">
        <f>MAX($H86,$L86,$Q86,$V86,$AA86,$AF86)</f>
        <v>0</v>
      </c>
      <c r="AL86" s="31"/>
      <c r="AM86" s="29"/>
      <c r="AN86" s="29"/>
      <c r="AO86" s="29"/>
      <c r="AP86" s="29"/>
    </row>
    <row r="87" spans="2:42" ht="15" customHeight="1">
      <c r="B87" s="33"/>
      <c r="C87" s="29"/>
      <c r="D87" s="47" t="s">
        <v>15</v>
      </c>
      <c r="F87" s="190" t="str">
        <f>F$47</f>
        <v/>
      </c>
      <c r="G87" s="190"/>
      <c r="H87" s="588" t="str">
        <f>IF(AND(code0&lt;&gt;"",'I2'!$G$34&lt;&gt;""),'I2'!$G$34,"")</f>
        <v/>
      </c>
      <c r="I87" s="1"/>
      <c r="J87" s="890" t="str">
        <f t="shared" si="0"/>
        <v/>
      </c>
      <c r="K87" s="702"/>
      <c r="L87" s="588" t="str">
        <f>IF(AND(code0&lt;&gt;"",'I2'!$N$34&lt;&gt;""),'I2'!$N$34,"")</f>
        <v/>
      </c>
      <c r="M87" s="1"/>
      <c r="N87" s="890" t="str">
        <f t="shared" si="1"/>
        <v/>
      </c>
      <c r="O87" s="894" t="str">
        <f>IF(OR(AND(p_moto=2,L87&lt;=$H87,p_trips=TRUE,$H87&lt;&gt;"",L87&lt;&gt;""),AND(p_moto=1,L87&lt;$H87,p_trips=TRUE,$H87&lt;&gt;"",L87&lt;&gt;"")),1,"")</f>
        <v/>
      </c>
      <c r="P87" s="702"/>
      <c r="Q87" s="588" t="str">
        <f>IF(AND(code0&lt;&gt;"",'I2'!$U$34&lt;&gt;""),'I2'!$U$34,"")</f>
        <v/>
      </c>
      <c r="R87" s="1"/>
      <c r="S87" s="890" t="str">
        <f t="shared" si="2"/>
        <v/>
      </c>
      <c r="T87" s="894" t="str">
        <f>IF(OR(AND(p_moto=2,Q87&lt;=$H87,p_trips=TRUE,$H87&lt;&gt;"",Q87&lt;&gt;""),AND(p_moto=1,Q87&lt;$H87,p_trips=TRUE,$H87&lt;&gt;"",Q87&lt;&gt;"")),1,"")</f>
        <v/>
      </c>
      <c r="U87" s="702"/>
      <c r="V87" s="588" t="str">
        <f>IF(AND(code0&lt;&gt;"",'I2'!$AB$34&lt;&gt;""),'I2'!$AB$34,"")</f>
        <v/>
      </c>
      <c r="W87" s="1"/>
      <c r="X87" s="890" t="str">
        <f t="shared" si="3"/>
        <v/>
      </c>
      <c r="Y87" s="894" t="str">
        <f>IF(OR(AND(p_moto=2,V87&lt;=$H87,p_trips=TRUE,$H87&lt;&gt;"",V87&lt;&gt;""),AND(p_moto=1,V87&lt;$H87,p_trips=TRUE,$H87&lt;&gt;"",V87&lt;&gt;"")),1,"")</f>
        <v/>
      </c>
      <c r="Z87" s="702"/>
      <c r="AA87" s="588" t="str">
        <f>IF(AND(code0&lt;&gt;"",'I2'!$AI$34&lt;&gt;""),'I2'!$AI$34,"")</f>
        <v/>
      </c>
      <c r="AB87" s="1"/>
      <c r="AC87" s="890" t="str">
        <f t="shared" si="4"/>
        <v/>
      </c>
      <c r="AD87" s="894" t="str">
        <f>IF(OR(AND(p_moto=2,AA87&lt;=$H87,p_trips=TRUE,$H87&lt;&gt;"",AA87&lt;&gt;""),AND(p_moto=1,AA87&lt;$H87,p_trips=TRUE,$H87&lt;&gt;"",AA87&lt;&gt;"")),1,"")</f>
        <v/>
      </c>
      <c r="AE87" s="702"/>
      <c r="AF87" s="588" t="str">
        <f>IF(AND(code0&lt;&gt;"",'I2'!$AP$34&lt;&gt;""),'I2'!$AP$34,"")</f>
        <v/>
      </c>
      <c r="AG87" s="1"/>
      <c r="AH87" s="890" t="str">
        <f t="shared" si="5"/>
        <v/>
      </c>
      <c r="AI87" s="894" t="str">
        <f>IF(OR(AND(p_moto=2,AF87&lt;=$H87,p_trips=TRUE,$H87&lt;&gt;"",AF87&lt;&gt;""),AND(p_moto=1,AF87&lt;$H87,p_trips=TRUE,$H87&lt;&gt;"",AF87&lt;&gt;"")),1,"")</f>
        <v/>
      </c>
      <c r="AJ87" s="702"/>
      <c r="AK87" s="900">
        <f>MAX($H87,$L87,$Q87,$V87,$AA87,$AF87)</f>
        <v>0</v>
      </c>
      <c r="AL87" s="31"/>
      <c r="AM87" s="29"/>
      <c r="AN87" s="29"/>
      <c r="AO87" s="29"/>
      <c r="AP87" s="29"/>
    </row>
    <row r="88" spans="2:42" ht="15" customHeight="1">
      <c r="B88" s="33"/>
      <c r="C88" s="29"/>
      <c r="D88" s="47" t="s">
        <v>297</v>
      </c>
      <c r="F88" s="190" t="str">
        <f>F$48</f>
        <v/>
      </c>
      <c r="G88" s="190"/>
      <c r="H88" s="587" t="str">
        <f>IF(AND(code0&lt;&gt;"",'I2'!$H$34&lt;&gt;""),'I2'!$H$34,"")</f>
        <v/>
      </c>
      <c r="I88" s="1"/>
      <c r="J88" s="890" t="str">
        <f t="shared" si="0"/>
        <v/>
      </c>
      <c r="K88" s="702"/>
      <c r="L88" s="587" t="str">
        <f>IF(AND(code0&lt;&gt;"",'I2'!$O$34&lt;&gt;""),'I2'!$O$34,"")</f>
        <v/>
      </c>
      <c r="M88" s="1"/>
      <c r="N88" s="890" t="str">
        <f t="shared" si="1"/>
        <v/>
      </c>
      <c r="O88" s="894" t="str">
        <f>IF(OR(AND(p_moto=2,L88&lt;=$H88,p_traveltime=TRUE,$H88&lt;&gt;"",L88&lt;&gt;""),AND(p_moto=1,L88&lt;$H88,p_traveltime=TRUE,$H88&lt;&gt;"",L88&lt;&gt;"")),1,"")</f>
        <v/>
      </c>
      <c r="P88" s="702"/>
      <c r="Q88" s="587" t="str">
        <f>IF(AND(code0&lt;&gt;"",'I2'!$V$34&lt;&gt;""),'I2'!$V$34,"")</f>
        <v/>
      </c>
      <c r="R88" s="1"/>
      <c r="S88" s="890" t="str">
        <f t="shared" si="2"/>
        <v/>
      </c>
      <c r="T88" s="894" t="str">
        <f>IF(OR(AND(p_moto=2,Q88&lt;=$H88,p_traveltime=TRUE,$H88&lt;&gt;"",Q88&lt;&gt;""),AND(p_moto=1,Q88&lt;$H88,p_traveltime=TRUE,$H88&lt;&gt;"",Q88&lt;&gt;"")),1,"")</f>
        <v/>
      </c>
      <c r="U88" s="702"/>
      <c r="V88" s="587" t="str">
        <f>IF(AND(code0&lt;&gt;"",'I2'!$AC$34&lt;&gt;""),'I2'!$AC$34,"")</f>
        <v/>
      </c>
      <c r="W88" s="1"/>
      <c r="X88" s="890" t="str">
        <f t="shared" si="3"/>
        <v/>
      </c>
      <c r="Y88" s="894" t="str">
        <f>IF(OR(AND(p_moto=2,V88&lt;=$H88,p_traveltime=TRUE,$H88&lt;&gt;"",V88&lt;&gt;""),AND(p_moto=1,V88&lt;$H88,p_traveltime=TRUE,$H88&lt;&gt;"",V88&lt;&gt;"")),1,"")</f>
        <v/>
      </c>
      <c r="Z88" s="702"/>
      <c r="AA88" s="587" t="str">
        <f>IF(AND(code0&lt;&gt;"",'I2'!$AJ$34&lt;&gt;""),'I2'!$AJ$34,"")</f>
        <v/>
      </c>
      <c r="AB88" s="1"/>
      <c r="AC88" s="890" t="str">
        <f t="shared" si="4"/>
        <v/>
      </c>
      <c r="AD88" s="894" t="str">
        <f>IF(OR(AND(p_moto=2,AA88&lt;=$H88,p_traveltime=TRUE,$H88&lt;&gt;"",AA88&lt;&gt;""),AND(p_moto=1,AA88&lt;$H88,p_traveltime=TRUE,$H88&lt;&gt;"",AA88&lt;&gt;"")),1,"")</f>
        <v/>
      </c>
      <c r="AE88" s="702"/>
      <c r="AF88" s="587" t="str">
        <f>IF(AND(code0&lt;&gt;"",'I2'!$AQ$34&lt;&gt;""),'I2'!$AQ$34,"")</f>
        <v/>
      </c>
      <c r="AG88" s="1"/>
      <c r="AH88" s="890" t="str">
        <f t="shared" si="5"/>
        <v/>
      </c>
      <c r="AI88" s="894" t="str">
        <f>IF(OR(AND(p_moto=2,AF88&lt;=$H88,p_traveltime=TRUE,$H88&lt;&gt;"",AF88&lt;&gt;""),AND(p_moto=1,AF88&lt;$H88,p_traveltime=TRUE,$H88&lt;&gt;"",AF88&lt;&gt;"")),1,"")</f>
        <v/>
      </c>
      <c r="AJ88" s="702"/>
      <c r="AK88" s="900">
        <f>MAX($H88,$L88,$Q88,$V88,$AA88,$AF88)</f>
        <v>0</v>
      </c>
      <c r="AL88" s="31"/>
      <c r="AM88" s="29"/>
      <c r="AN88" s="29"/>
      <c r="AO88" s="29"/>
      <c r="AP88" s="29"/>
    </row>
    <row r="89" spans="2:42" ht="15" customHeight="1">
      <c r="B89" s="33"/>
      <c r="C89" s="29"/>
      <c r="D89" s="47" t="s">
        <v>296</v>
      </c>
      <c r="F89" s="190" t="str">
        <f>F$49</f>
        <v/>
      </c>
      <c r="G89" s="190"/>
      <c r="H89" s="587" t="str">
        <f>IF(AND(code0&lt;&gt;"",'I2'!$I$34&lt;&gt;""),'I2'!$I$34,"")</f>
        <v/>
      </c>
      <c r="I89" s="1"/>
      <c r="J89" s="890" t="str">
        <f t="shared" ref="J89:J92" si="36">IF(H89=$AK89,1,"")</f>
        <v/>
      </c>
      <c r="K89" s="702"/>
      <c r="L89" s="587" t="str">
        <f>IF(AND(code0&lt;&gt;"",'I2'!$P$34&lt;&gt;""),'I2'!$P$34,"")</f>
        <v/>
      </c>
      <c r="M89" s="1"/>
      <c r="N89" s="890" t="str">
        <f t="shared" ref="N89:N92" si="37">IF(L89=$AK89,1,"")</f>
        <v/>
      </c>
      <c r="O89" s="894" t="str">
        <f>IF(OR(AND(p_moto=2,L89&lt;=$H89,p_traveltime=TRUE,$H89&lt;&gt;"",L89&lt;&gt;""),AND(p_moto=1,L89&lt;$H89,p_traveltime=TRUE,$H89&lt;&gt;"",L89&lt;&gt;"")),1,"")</f>
        <v/>
      </c>
      <c r="P89" s="702"/>
      <c r="Q89" s="587" t="str">
        <f>IF(AND(code0&lt;&gt;"",'I2'!$W$34&lt;&gt;""),'I2'!$W$34,"")</f>
        <v/>
      </c>
      <c r="R89" s="1"/>
      <c r="S89" s="890" t="str">
        <f t="shared" ref="S89:S92" si="38">IF(Q89=$AK89,1,"")</f>
        <v/>
      </c>
      <c r="T89" s="894" t="str">
        <f>IF(OR(AND(p_moto=2,Q89&lt;=$H89,p_traveltime=TRUE,$H89&lt;&gt;"",Q89&lt;&gt;""),AND(p_moto=1,Q89&lt;$H89,p_traveltime=TRUE,$H89&lt;&gt;"",Q89&lt;&gt;"")),1,"")</f>
        <v/>
      </c>
      <c r="U89" s="702"/>
      <c r="V89" s="587" t="str">
        <f>IF(AND(code0&lt;&gt;"",'I2'!$AD$34&lt;&gt;""),'I2'!$AD$34,"")</f>
        <v/>
      </c>
      <c r="W89" s="1"/>
      <c r="X89" s="890" t="str">
        <f t="shared" ref="X89:X92" si="39">IF(V89=$AK89,1,"")</f>
        <v/>
      </c>
      <c r="Y89" s="894" t="str">
        <f>IF(OR(AND(p_moto=2,V89&lt;=$H89,p_traveltime=TRUE,$H89&lt;&gt;"",V89&lt;&gt;""),AND(p_moto=1,V89&lt;$H89,p_traveltime=TRUE,$H89&lt;&gt;"",V89&lt;&gt;"")),1,"")</f>
        <v/>
      </c>
      <c r="Z89" s="702"/>
      <c r="AA89" s="587" t="str">
        <f>IF(AND(code0&lt;&gt;"",'I2'!$AK$34&lt;&gt;""),'I2'!$AK$34,"")</f>
        <v/>
      </c>
      <c r="AB89" s="1"/>
      <c r="AC89" s="890" t="str">
        <f t="shared" ref="AC89:AC92" si="40">IF(AA89=$AK89,1,"")</f>
        <v/>
      </c>
      <c r="AD89" s="894" t="str">
        <f>IF(OR(AND(p_moto=2,AA89&lt;=$H89,p_traveltime=TRUE,$H89&lt;&gt;"",AA89&lt;&gt;""),AND(p_moto=1,AA89&lt;$H89,p_traveltime=TRUE,$H89&lt;&gt;"",AA89&lt;&gt;"")),1,"")</f>
        <v/>
      </c>
      <c r="AE89" s="702"/>
      <c r="AF89" s="587" t="str">
        <f>IF(AND(code0&lt;&gt;"",'I2'!$AR$34&lt;&gt;""),'I2'!$AR$34,"")</f>
        <v/>
      </c>
      <c r="AG89" s="1"/>
      <c r="AH89" s="890" t="str">
        <f t="shared" ref="AH89:AH92" si="41">IF(AF89=$AK89,1,"")</f>
        <v/>
      </c>
      <c r="AI89" s="894" t="str">
        <f>IF(OR(AND(p_moto=2,AF89&lt;=$H89,p_traveltime=TRUE,$H89&lt;&gt;"",AF89&lt;&gt;""),AND(p_moto=1,AF89&lt;$H89,p_traveltime=TRUE,$H89&lt;&gt;"",AF89&lt;&gt;"")),1,"")</f>
        <v/>
      </c>
      <c r="AJ89" s="702"/>
      <c r="AK89" s="900">
        <f>MIN($H89,$L89,$Q89,$V89,$AA89,$AF89)</f>
        <v>0</v>
      </c>
      <c r="AL89" s="31"/>
      <c r="AM89" s="29"/>
      <c r="AN89" s="29"/>
      <c r="AO89" s="29"/>
      <c r="AP89" s="29"/>
    </row>
    <row r="90" spans="2:42" ht="15" customHeight="1">
      <c r="B90" s="33"/>
      <c r="C90" s="29"/>
      <c r="D90" s="47" t="s">
        <v>19</v>
      </c>
      <c r="F90" s="190" t="str">
        <f>F$50</f>
        <v/>
      </c>
      <c r="G90" s="190"/>
      <c r="H90" s="587" t="str">
        <f>IF(AND(code0&lt;&gt;"",'I2'!$J$34&lt;&gt;""),'I2'!$J$34,"")</f>
        <v/>
      </c>
      <c r="I90" s="1"/>
      <c r="J90" s="890" t="str">
        <f t="shared" si="36"/>
        <v/>
      </c>
      <c r="K90" s="702"/>
      <c r="L90" s="587" t="str">
        <f>IF(AND(code0&lt;&gt;"",'I2'!$Q$34&lt;&gt;""),'I2'!$Q$34,"")</f>
        <v/>
      </c>
      <c r="M90" s="1"/>
      <c r="N90" s="890" t="str">
        <f t="shared" si="37"/>
        <v/>
      </c>
      <c r="O90" s="894" t="str">
        <f>IF(OR(AND(p_moto=2,L90&lt;=$H90,p_congestion=TRUE,$H90&lt;&gt;"",L90&lt;&gt;""),AND(p_moto=1,L90&lt;$H90,p_comsev=TRUE,$H90&lt;&gt;"",L90&lt;&gt;"")),1,"")</f>
        <v/>
      </c>
      <c r="P90" s="702"/>
      <c r="Q90" s="587" t="str">
        <f>IF(AND(code0&lt;&gt;"",'I2'!$X$34&lt;&gt;""),'I2'!$X$34,"")</f>
        <v/>
      </c>
      <c r="R90" s="1"/>
      <c r="S90" s="890" t="str">
        <f t="shared" si="38"/>
        <v/>
      </c>
      <c r="T90" s="894" t="str">
        <f>IF(OR(AND(p_moto=2,Q90&lt;=$H90,p_congestion=TRUE,$H90&lt;&gt;"",Q90&lt;&gt;""),AND(p_moto=1,Q90&lt;$H90,p_comsev=TRUE,$H90&lt;&gt;"",Q90&lt;&gt;"")),1,"")</f>
        <v/>
      </c>
      <c r="U90" s="702"/>
      <c r="V90" s="587" t="str">
        <f>IF(AND(code0&lt;&gt;"",'I2'!$AE$34&lt;&gt;""),'I2'!$AE$34,"")</f>
        <v/>
      </c>
      <c r="W90" s="1"/>
      <c r="X90" s="890" t="str">
        <f t="shared" si="39"/>
        <v/>
      </c>
      <c r="Y90" s="894" t="str">
        <f>IF(OR(AND(p_moto=2,V90&lt;=$H90,p_congestion=TRUE,$H90&lt;&gt;"",V90&lt;&gt;""),AND(p_moto=1,V90&lt;$H90,p_comsev=TRUE,$H90&lt;&gt;"",V90&lt;&gt;"")),1,"")</f>
        <v/>
      </c>
      <c r="Z90" s="702"/>
      <c r="AA90" s="587" t="str">
        <f>IF(AND(code0&lt;&gt;"",'I2'!$AL$34&lt;&gt;""),'I2'!$AL$34,"")</f>
        <v/>
      </c>
      <c r="AB90" s="1"/>
      <c r="AC90" s="890" t="str">
        <f t="shared" si="40"/>
        <v/>
      </c>
      <c r="AD90" s="894" t="str">
        <f>IF(OR(AND(p_moto=2,AA90&lt;=$H90,p_congestion=TRUE,$H90&lt;&gt;"",AA90&lt;&gt;""),AND(p_moto=1,AA90&lt;$H90,p_comsev=TRUE,$H90&lt;&gt;"",AA90&lt;&gt;"")),1,"")</f>
        <v/>
      </c>
      <c r="AE90" s="702"/>
      <c r="AF90" s="587" t="str">
        <f>IF(AND(code0&lt;&gt;"",'I2'!$AS$34&lt;&gt;""),'I2'!$AS$34,"")</f>
        <v/>
      </c>
      <c r="AG90" s="1"/>
      <c r="AH90" s="890" t="str">
        <f t="shared" si="41"/>
        <v/>
      </c>
      <c r="AI90" s="894" t="str">
        <f>IF(OR(AND(p_moto=2,AF90&lt;=$H90,p_congestion=TRUE,$H90&lt;&gt;"",AF90&lt;&gt;""),AND(p_moto=1,AF90&lt;$H90,p_comsev=TRUE,$H90&lt;&gt;"",AF90&lt;&gt;"")),1,"")</f>
        <v/>
      </c>
      <c r="AJ90" s="702"/>
      <c r="AK90" s="900">
        <f>MIN($H90,$L90,$Q90,$V90,$AA90,$AF90)</f>
        <v>0</v>
      </c>
      <c r="AL90" s="31"/>
      <c r="AM90" s="29"/>
      <c r="AN90" s="29"/>
      <c r="AO90" s="29"/>
      <c r="AP90" s="29"/>
    </row>
    <row r="91" spans="2:42" ht="15" customHeight="1">
      <c r="B91" s="33"/>
      <c r="C91" s="29"/>
      <c r="D91" s="47" t="s">
        <v>16</v>
      </c>
      <c r="F91" s="190" t="str">
        <f>F$51</f>
        <v/>
      </c>
      <c r="G91" s="190"/>
      <c r="H91" s="587" t="str">
        <f>IF(AND(code0&lt;&gt;"",'I2'!$K$34&lt;&gt;""),'I2'!$K$34,"")</f>
        <v/>
      </c>
      <c r="I91" s="1"/>
      <c r="J91" s="890" t="str">
        <f t="shared" si="36"/>
        <v/>
      </c>
      <c r="K91" s="702"/>
      <c r="L91" s="587" t="str">
        <f>IF(AND(code0&lt;&gt;"",'I2'!$R$34&lt;&gt;""),'I2'!$R$34,"")</f>
        <v/>
      </c>
      <c r="M91" s="1"/>
      <c r="N91" s="890" t="str">
        <f t="shared" si="37"/>
        <v/>
      </c>
      <c r="O91" s="894" t="str">
        <f>IF(OR(AND(p_moto=2,L91&lt;=$H91,p_reliability=TRUE,$H91&lt;&gt;"",L91&lt;&gt;""),AND(p_moto=1,L91&lt;$H91,p_reliability=TRUE,$H91&lt;&gt;"",L91&lt;&gt;"")),1,"")</f>
        <v/>
      </c>
      <c r="P91" s="702"/>
      <c r="Q91" s="587" t="str">
        <f>IF(AND(code0&lt;&gt;"",'I2'!$Y$34&lt;&gt;""),'I2'!$Y$34,"")</f>
        <v/>
      </c>
      <c r="R91" s="1"/>
      <c r="S91" s="890" t="str">
        <f t="shared" si="38"/>
        <v/>
      </c>
      <c r="T91" s="894" t="str">
        <f>IF(OR(AND(p_moto=2,Q91&lt;=$H91,p_reliability=TRUE,$H91&lt;&gt;"",Q91&lt;&gt;""),AND(p_moto=1,Q91&lt;$H91,p_reliability=TRUE,$H91&lt;&gt;"",Q91&lt;&gt;"")),1,"")</f>
        <v/>
      </c>
      <c r="U91" s="702"/>
      <c r="V91" s="587" t="str">
        <f>IF(AND(code0&lt;&gt;"",'I2'!$AF$34&lt;&gt;""),'I2'!$AF$34,"")</f>
        <v/>
      </c>
      <c r="W91" s="1"/>
      <c r="X91" s="890" t="str">
        <f t="shared" si="39"/>
        <v/>
      </c>
      <c r="Y91" s="894" t="str">
        <f>IF(OR(AND(p_moto=2,V91&lt;=$H91,p_reliability=TRUE,$H91&lt;&gt;"",V91&lt;&gt;""),AND(p_moto=1,V91&lt;$H91,p_reliability=TRUE,$H91&lt;&gt;"",V91&lt;&gt;"")),1,"")</f>
        <v/>
      </c>
      <c r="Z91" s="702"/>
      <c r="AA91" s="587" t="str">
        <f>IF(AND(code0&lt;&gt;"",'I2'!$AM$34&lt;&gt;""),'I2'!$AM$34,"")</f>
        <v/>
      </c>
      <c r="AB91" s="1"/>
      <c r="AC91" s="890" t="str">
        <f t="shared" si="40"/>
        <v/>
      </c>
      <c r="AD91" s="894" t="str">
        <f>IF(OR(AND(p_moto=2,AA91&lt;=$H91,p_reliability=TRUE,$H91&lt;&gt;"",AA91&lt;&gt;""),AND(p_moto=1,AA91&lt;$H91,p_reliability=TRUE,$H91&lt;&gt;"",AA91&lt;&gt;"")),1,"")</f>
        <v/>
      </c>
      <c r="AE91" s="702"/>
      <c r="AF91" s="587" t="str">
        <f>IF(AND(code0&lt;&gt;"",'I2'!$AT$34&lt;&gt;""),'I2'!$AT$34,"")</f>
        <v/>
      </c>
      <c r="AG91" s="1"/>
      <c r="AH91" s="890" t="str">
        <f t="shared" si="41"/>
        <v/>
      </c>
      <c r="AI91" s="894" t="str">
        <f>IF(OR(AND(p_moto=2,AF91&lt;=$H91,p_reliability=TRUE,$H91&lt;&gt;"",AF91&lt;&gt;""),AND(p_moto=1,AF91&lt;$H91,p_reliability=TRUE,$H91&lt;&gt;"",AF91&lt;&gt;"")),1,"")</f>
        <v/>
      </c>
      <c r="AJ91" s="702"/>
      <c r="AK91" s="900">
        <f>MIN($H91,$L91,$Q91,$V91,$AA91,$AF91)</f>
        <v>0</v>
      </c>
      <c r="AL91" s="31"/>
      <c r="AM91" s="29"/>
      <c r="AN91" s="29"/>
      <c r="AO91" s="29"/>
      <c r="AP91" s="29"/>
    </row>
    <row r="92" spans="2:42" ht="15" customHeight="1">
      <c r="B92" s="33"/>
      <c r="C92" s="59"/>
      <c r="D92" s="85" t="s">
        <v>18</v>
      </c>
      <c r="E92" s="59"/>
      <c r="F92" s="294" t="str">
        <f>F$52</f>
        <v/>
      </c>
      <c r="G92" s="190"/>
      <c r="H92" s="589" t="str">
        <f>IF(AND(code0&lt;&gt;"",'I2'!$L$34&lt;&gt;""),'I2'!$L$34,"")</f>
        <v/>
      </c>
      <c r="I92" s="1"/>
      <c r="J92" s="892" t="str">
        <f t="shared" si="36"/>
        <v/>
      </c>
      <c r="K92" s="703"/>
      <c r="L92" s="590" t="str">
        <f>IF(AND(code0&lt;&gt;"",'I2'!$S$34&lt;&gt;""),'I2'!$S$34,"")</f>
        <v/>
      </c>
      <c r="M92" s="1"/>
      <c r="N92" s="892" t="str">
        <f t="shared" si="37"/>
        <v/>
      </c>
      <c r="O92" s="895" t="str">
        <f>IF(OR(AND(p_moto=2,L92&gt;=$H92,p_tripquality=TRUE,$H92&lt;&gt;"",L92&lt;&gt;""),AND(p_moto=1,L92&gt;$H92,p_tripquality=TRUE,$H92&lt;&gt;"",L92&lt;&gt;"")),1,"")</f>
        <v/>
      </c>
      <c r="P92" s="703"/>
      <c r="Q92" s="590" t="str">
        <f>IF(AND(code0&lt;&gt;"",'I2'!$Z$34&lt;&gt;""),'I2'!$Z$34,"")</f>
        <v/>
      </c>
      <c r="R92" s="1"/>
      <c r="S92" s="892" t="str">
        <f t="shared" si="38"/>
        <v/>
      </c>
      <c r="T92" s="895" t="str">
        <f>IF(OR(AND(p_moto=2,Q92&gt;=$H92,p_tripquality=TRUE,$H92&lt;&gt;"",Q92&lt;&gt;""),AND(p_moto=1,Q92&gt;$H92,p_tripquality=TRUE,$H92&lt;&gt;"",Q92&lt;&gt;"")),1,"")</f>
        <v/>
      </c>
      <c r="U92" s="703"/>
      <c r="V92" s="590" t="str">
        <f>IF(AND(code0&lt;&gt;"",'I2'!$AG$34&lt;&gt;""),'I2'!$AG$34,"")</f>
        <v/>
      </c>
      <c r="W92" s="1"/>
      <c r="X92" s="892" t="str">
        <f t="shared" si="39"/>
        <v/>
      </c>
      <c r="Y92" s="895" t="str">
        <f>IF(OR(AND(p_moto=2,V92&gt;=$H92,p_tripquality=TRUE,$H92&lt;&gt;"",V92&lt;&gt;""),AND(p_moto=1,V92&gt;$H92,p_tripquality=TRUE,$H92&lt;&gt;"",V92&lt;&gt;"")),1,"")</f>
        <v/>
      </c>
      <c r="Z92" s="703"/>
      <c r="AA92" s="590" t="str">
        <f>IF(AND(code0&lt;&gt;"",'I2'!$AN$34&lt;&gt;""),'I2'!$AN$34,"")</f>
        <v/>
      </c>
      <c r="AB92" s="1"/>
      <c r="AC92" s="892" t="str">
        <f t="shared" si="40"/>
        <v/>
      </c>
      <c r="AD92" s="895" t="str">
        <f>IF(OR(AND(p_moto=2,AA92&gt;=$H92,p_tripquality=TRUE,$H92&lt;&gt;"",AA92&lt;&gt;""),AND(p_moto=1,AA92&gt;$H92,p_tripquality=TRUE,$H92&lt;&gt;"",AA92&lt;&gt;"")),1,"")</f>
        <v/>
      </c>
      <c r="AE92" s="703"/>
      <c r="AF92" s="590" t="str">
        <f>IF(AND(code0&lt;&gt;"",'I2'!$AU$34&lt;&gt;""),'I2'!$AU$34,"")</f>
        <v/>
      </c>
      <c r="AG92" s="1"/>
      <c r="AH92" s="890" t="str">
        <f t="shared" si="41"/>
        <v/>
      </c>
      <c r="AI92" s="894" t="str">
        <f>IF(OR(AND(p_moto=2,AF92&gt;=$H92,p_tripquality=TRUE,$H92&lt;&gt;"",AF92&lt;&gt;""),AND(p_moto=1,AF92&gt;$H92,p_tripquality=TRUE,$H92&lt;&gt;"",AF92&lt;&gt;"")),1,"")</f>
        <v/>
      </c>
      <c r="AJ92" s="702"/>
      <c r="AK92" s="900">
        <f>MIN($H92,$L92,$Q92,$V92,$AA92,$AF92)</f>
        <v>0</v>
      </c>
      <c r="AL92" s="31"/>
      <c r="AM92" s="29"/>
      <c r="AN92" s="29"/>
      <c r="AO92" s="29"/>
      <c r="AP92" s="29"/>
    </row>
    <row r="93" spans="2:42" ht="15" customHeight="1">
      <c r="B93" s="33"/>
      <c r="C93" s="49" t="s">
        <v>219</v>
      </c>
      <c r="D93" s="47"/>
      <c r="F93" s="223"/>
      <c r="G93" s="748"/>
      <c r="H93" s="366"/>
      <c r="I93" s="1"/>
      <c r="J93" s="610"/>
      <c r="K93" s="704"/>
      <c r="L93" s="366"/>
      <c r="M93" s="1"/>
      <c r="N93" s="610"/>
      <c r="O93" s="711"/>
      <c r="P93" s="704"/>
      <c r="Q93" s="366"/>
      <c r="R93" s="1"/>
      <c r="S93" s="610"/>
      <c r="T93" s="711"/>
      <c r="U93" s="704"/>
      <c r="V93" s="366"/>
      <c r="W93" s="1"/>
      <c r="X93" s="610"/>
      <c r="Y93" s="711"/>
      <c r="Z93" s="704"/>
      <c r="AA93" s="366"/>
      <c r="AB93" s="1"/>
      <c r="AC93" s="610"/>
      <c r="AD93" s="711"/>
      <c r="AE93" s="704"/>
      <c r="AF93" s="366"/>
      <c r="AG93" s="1"/>
      <c r="AH93" s="610"/>
      <c r="AI93" s="711"/>
      <c r="AJ93" s="704"/>
      <c r="AK93" s="704"/>
      <c r="AL93" s="31"/>
      <c r="AM93" s="29"/>
      <c r="AN93" s="29"/>
      <c r="AO93" s="29"/>
      <c r="AP93" s="29"/>
    </row>
    <row r="94" spans="2:42" ht="15" customHeight="1">
      <c r="B94" s="33"/>
      <c r="C94" s="29"/>
      <c r="D94" s="47" t="s">
        <v>258</v>
      </c>
      <c r="F94" s="182" t="s">
        <v>293</v>
      </c>
      <c r="G94" s="182"/>
      <c r="H94" s="587" t="str">
        <f>IF(code0="","",'I1'!F47)</f>
        <v/>
      </c>
      <c r="I94" s="1"/>
      <c r="J94" s="890" t="str">
        <f t="shared" si="0"/>
        <v/>
      </c>
      <c r="K94" s="891" t="str">
        <f>IF(H94&lt;standard_car,1,"")</f>
        <v/>
      </c>
      <c r="L94" s="587" t="str">
        <f>IF(code1="","",'I1'!H47)</f>
        <v/>
      </c>
      <c r="M94" s="1"/>
      <c r="N94" s="890" t="str">
        <f t="shared" si="1"/>
        <v/>
      </c>
      <c r="O94" s="894" t="str">
        <f>IF(OR(AND(p_gv_move=2,L94&lt;=$H94,p_tripquality=TRUE,$H94&lt;&gt;"",L94&lt;&gt;""),AND(p_gv_move=1,L94&lt;$H94,p_tripquality=TRUE,$H94&lt;&gt;"",L94&lt;&gt;"")),1,"")</f>
        <v/>
      </c>
      <c r="P94" s="891" t="str">
        <f>IF(L94&lt;standard_car,1,"")</f>
        <v/>
      </c>
      <c r="Q94" s="587" t="str">
        <f>IF(code2="","",'I1'!J47)</f>
        <v/>
      </c>
      <c r="R94" s="1"/>
      <c r="S94" s="890" t="str">
        <f t="shared" si="2"/>
        <v/>
      </c>
      <c r="T94" s="894" t="str">
        <f>IF(OR(AND(p_gv_move=2,Q94&lt;=$H94,p_tripquality=TRUE,$H94&lt;&gt;"",Q94&lt;&gt;""),AND(p_gv_move=1,Q94&lt;$H94,p_tripquality=TRUE,$H94&lt;&gt;"",Q94&lt;&gt;"")),1,"")</f>
        <v/>
      </c>
      <c r="U94" s="891" t="str">
        <f>IF(Q94&lt;standard_car,1,"")</f>
        <v/>
      </c>
      <c r="V94" s="587" t="str">
        <f>IF(code3="","",'I1'!L47)</f>
        <v/>
      </c>
      <c r="W94" s="1"/>
      <c r="X94" s="890" t="str">
        <f t="shared" si="3"/>
        <v/>
      </c>
      <c r="Y94" s="894" t="str">
        <f>IF(OR(AND(p_gv_move=2,V94&lt;=$H94,p_tripquality=TRUE,$H94&lt;&gt;"",V94&lt;&gt;""),AND(p_gv_move=1,V94&lt;$H94,p_tripquality=TRUE,$H94&lt;&gt;"",V94&lt;&gt;"")),1,"")</f>
        <v/>
      </c>
      <c r="Z94" s="891" t="str">
        <f>IF(V94&lt;standard_car,1,"")</f>
        <v/>
      </c>
      <c r="AA94" s="587" t="str">
        <f>IF(code4="","",'I1'!N47)</f>
        <v/>
      </c>
      <c r="AB94" s="1"/>
      <c r="AC94" s="890" t="str">
        <f t="shared" si="4"/>
        <v/>
      </c>
      <c r="AD94" s="894" t="str">
        <f>IF(OR(AND(p_gv_move=2,AA94&lt;=$H94,p_tripquality=TRUE,$H94&lt;&gt;"",AA94&lt;&gt;""),AND(p_gv_move=1,AA94&lt;$H94,p_tripquality=TRUE,$H94&lt;&gt;"",AA94&lt;&gt;"")),1,"")</f>
        <v/>
      </c>
      <c r="AE94" s="891" t="str">
        <f>IF(AA94&lt;standard_car,1,"")</f>
        <v/>
      </c>
      <c r="AF94" s="587" t="str">
        <f>IF(code5="","",'I1'!P47)</f>
        <v/>
      </c>
      <c r="AG94" s="1"/>
      <c r="AH94" s="890" t="str">
        <f t="shared" si="5"/>
        <v/>
      </c>
      <c r="AI94" s="894" t="str">
        <f>IF(OR(AND(p_gv_move=2,AF94&lt;=$H94,p_tripquality=TRUE,$H94&lt;&gt;"",AF94&lt;&gt;""),AND(p_gv_move=1,AF94&lt;$H94,p_tripquality=TRUE,$H94&lt;&gt;"",AF94&lt;&gt;"")),1,"")</f>
        <v/>
      </c>
      <c r="AJ94" s="891" t="str">
        <f>IF(AF94&lt;standard_car,1,"")</f>
        <v/>
      </c>
      <c r="AK94" s="900">
        <f>MAX($H94,$L94,$Q94,$V94,$AA94,$AF94)</f>
        <v>0</v>
      </c>
      <c r="AL94" s="31"/>
      <c r="AM94" s="29"/>
      <c r="AN94" s="29"/>
      <c r="AO94" s="29"/>
      <c r="AP94" s="29"/>
    </row>
    <row r="95" spans="2:42" ht="15" customHeight="1">
      <c r="B95" s="33"/>
      <c r="C95" s="29"/>
      <c r="D95" s="47" t="s">
        <v>15</v>
      </c>
      <c r="F95" s="190" t="str">
        <f>F$47</f>
        <v/>
      </c>
      <c r="G95" s="190"/>
      <c r="H95" s="588" t="str">
        <f>IF(AND(code0&lt;&gt;"",'I2'!$G$35&lt;&gt;""),'I2'!$G$35,"")</f>
        <v/>
      </c>
      <c r="I95" s="1"/>
      <c r="J95" s="890" t="str">
        <f t="shared" si="0"/>
        <v/>
      </c>
      <c r="K95" s="702"/>
      <c r="L95" s="588" t="str">
        <f>IF(AND(code0&lt;&gt;"",'I2'!$N$35&lt;&gt;""),'I2'!$N$35,"")</f>
        <v/>
      </c>
      <c r="M95" s="1"/>
      <c r="N95" s="890" t="str">
        <f t="shared" si="1"/>
        <v/>
      </c>
      <c r="O95" s="894" t="str">
        <f>IF(OR(AND(p_gv_move=2,L95&lt;=$H95,p_trips=TRUE,$H95&lt;&gt;"",L95&lt;&gt;""),AND(p_gv_move=1,L95&lt;$H95,p_trips=TRUE,$H95&lt;&gt;"",L95&lt;&gt;"")),1,"")</f>
        <v/>
      </c>
      <c r="P95" s="702"/>
      <c r="Q95" s="588" t="str">
        <f>IF(AND(code0&lt;&gt;"",'I2'!$U$35&lt;&gt;""),'I2'!$U$35,"")</f>
        <v/>
      </c>
      <c r="R95" s="1"/>
      <c r="S95" s="890" t="str">
        <f t="shared" si="2"/>
        <v/>
      </c>
      <c r="T95" s="894" t="str">
        <f>IF(OR(AND(p_gv_move=2,Q95&lt;=$H95,p_trips=TRUE,$H95&lt;&gt;"",Q95&lt;&gt;""),AND(p_gv_move=1,Q95&lt;$H95,p_trips=TRUE,$H95&lt;&gt;"",Q95&lt;&gt;"")),1,"")</f>
        <v/>
      </c>
      <c r="U95" s="702"/>
      <c r="V95" s="588" t="str">
        <f>IF(AND(code0&lt;&gt;"",'I2'!$AB$35&lt;&gt;""),'I2'!$AB$35,"")</f>
        <v/>
      </c>
      <c r="W95" s="1"/>
      <c r="X95" s="890" t="str">
        <f t="shared" si="3"/>
        <v/>
      </c>
      <c r="Y95" s="894" t="str">
        <f>IF(OR(AND(p_gv_move=2,V95&lt;=$H95,p_trips=TRUE,$H95&lt;&gt;"",V95&lt;&gt;""),AND(p_gv_move=1,V95&lt;$H95,p_trips=TRUE,$H95&lt;&gt;"",V95&lt;&gt;"")),1,"")</f>
        <v/>
      </c>
      <c r="Z95" s="702"/>
      <c r="AA95" s="588" t="str">
        <f>IF(AND(code0&lt;&gt;"",'I2'!$AI$35&lt;&gt;""),'I2'!$AI$35,"")</f>
        <v/>
      </c>
      <c r="AB95" s="1"/>
      <c r="AC95" s="890" t="str">
        <f t="shared" si="4"/>
        <v/>
      </c>
      <c r="AD95" s="894" t="str">
        <f>IF(OR(AND(p_gv_move=2,AA95&lt;=$H95,p_trips=TRUE,$H95&lt;&gt;"",AA95&lt;&gt;""),AND(p_gv_move=1,AA95&lt;$H95,p_trips=TRUE,$H95&lt;&gt;"",AA95&lt;&gt;"")),1,"")</f>
        <v/>
      </c>
      <c r="AE95" s="702"/>
      <c r="AF95" s="588" t="str">
        <f>IF(AND(code0&lt;&gt;"",'I2'!$AP$35&lt;&gt;""),'I2'!$AP$35,"")</f>
        <v/>
      </c>
      <c r="AG95" s="1"/>
      <c r="AH95" s="890" t="str">
        <f t="shared" si="5"/>
        <v/>
      </c>
      <c r="AI95" s="894" t="str">
        <f>IF(OR(AND(p_gv_move=2,AF95&lt;=$H95,p_trips=TRUE,$H95&lt;&gt;"",AF95&lt;&gt;""),AND(p_gv_move=1,AF95&lt;$H95,p_trips=TRUE,$H95&lt;&gt;"",AF95&lt;&gt;"")),1,"")</f>
        <v/>
      </c>
      <c r="AJ95" s="702"/>
      <c r="AK95" s="900">
        <f>MAX($H95,$L95,$Q95,$V95,$AA95,$AF95)</f>
        <v>0</v>
      </c>
      <c r="AL95" s="31"/>
      <c r="AM95" s="29"/>
      <c r="AN95" s="29"/>
      <c r="AO95" s="29"/>
      <c r="AP95" s="29"/>
    </row>
    <row r="96" spans="2:42" ht="15" customHeight="1">
      <c r="B96" s="33"/>
      <c r="C96" s="29"/>
      <c r="D96" s="47" t="s">
        <v>297</v>
      </c>
      <c r="F96" s="190" t="str">
        <f>F$48</f>
        <v/>
      </c>
      <c r="G96" s="190"/>
      <c r="H96" s="587" t="str">
        <f>IF(AND(code0&lt;&gt;"",'I2'!$H$35&lt;&gt;""),'I2'!$H$35,"")</f>
        <v/>
      </c>
      <c r="I96" s="1"/>
      <c r="J96" s="890" t="str">
        <f t="shared" si="0"/>
        <v/>
      </c>
      <c r="K96" s="702"/>
      <c r="L96" s="587" t="str">
        <f>IF(AND(code0&lt;&gt;"",'I2'!$O$35&lt;&gt;""),'I2'!$O$35,"")</f>
        <v/>
      </c>
      <c r="M96" s="1"/>
      <c r="N96" s="890" t="str">
        <f t="shared" si="1"/>
        <v/>
      </c>
      <c r="O96" s="894" t="str">
        <f>IF(OR(AND(p_gv_move=2,L96&lt;=$H96,p_traveltime=TRUE,$H96&lt;&gt;"",L96&lt;&gt;""),AND(p_gv_move=1,L96&lt;$H96,p_traveltime=TRUE,$H96&lt;&gt;"",L96&lt;&gt;"")),1,"")</f>
        <v/>
      </c>
      <c r="P96" s="702"/>
      <c r="Q96" s="587" t="str">
        <f>IF(AND(code0&lt;&gt;"",'I2'!$V$35&lt;&gt;""),'I2'!$V$35,"")</f>
        <v/>
      </c>
      <c r="R96" s="1"/>
      <c r="S96" s="890" t="str">
        <f t="shared" si="2"/>
        <v/>
      </c>
      <c r="T96" s="894" t="str">
        <f>IF(OR(AND(p_gv_move=2,Q96&lt;=$H96,p_traveltime=TRUE,$H96&lt;&gt;"",Q96&lt;&gt;""),AND(p_gv_move=1,Q96&lt;$H96,p_traveltime=TRUE,$H96&lt;&gt;"",Q96&lt;&gt;"")),1,"")</f>
        <v/>
      </c>
      <c r="U96" s="702"/>
      <c r="V96" s="587" t="str">
        <f>IF(AND(code0&lt;&gt;"",'I2'!$AC$35&lt;&gt;""),'I2'!$AC$35,"")</f>
        <v/>
      </c>
      <c r="W96" s="1"/>
      <c r="X96" s="890" t="str">
        <f t="shared" si="3"/>
        <v/>
      </c>
      <c r="Y96" s="894" t="str">
        <f>IF(OR(AND(p_gv_move=2,V96&lt;=$H96,p_traveltime=TRUE,$H96&lt;&gt;"",V96&lt;&gt;""),AND(p_gv_move=1,V96&lt;$H96,p_traveltime=TRUE,$H96&lt;&gt;"",V96&lt;&gt;"")),1,"")</f>
        <v/>
      </c>
      <c r="Z96" s="702"/>
      <c r="AA96" s="587" t="str">
        <f>IF(AND(code0&lt;&gt;"",'I2'!$AJ$35&lt;&gt;""),'I2'!$AJ$35,"")</f>
        <v/>
      </c>
      <c r="AB96" s="1"/>
      <c r="AC96" s="890" t="str">
        <f t="shared" si="4"/>
        <v/>
      </c>
      <c r="AD96" s="894" t="str">
        <f>IF(OR(AND(p_gv_move=2,AA96&lt;=$H96,p_traveltime=TRUE,$H96&lt;&gt;"",AA96&lt;&gt;""),AND(p_gv_move=1,AA96&lt;$H96,p_traveltime=TRUE,$H96&lt;&gt;"",AA96&lt;&gt;"")),1,"")</f>
        <v/>
      </c>
      <c r="AE96" s="702"/>
      <c r="AF96" s="587" t="str">
        <f>IF(AND(code0&lt;&gt;"",'I2'!$AQ$35&lt;&gt;""),'I2'!$AQ$35,"")</f>
        <v/>
      </c>
      <c r="AG96" s="1"/>
      <c r="AH96" s="890" t="str">
        <f t="shared" si="5"/>
        <v/>
      </c>
      <c r="AI96" s="894" t="str">
        <f>IF(OR(AND(p_gv_move=2,AF96&lt;=$H96,p_traveltime=TRUE,$H96&lt;&gt;"",AF96&lt;&gt;""),AND(p_gv_move=1,AF96&lt;$H96,p_traveltime=TRUE,$H96&lt;&gt;"",AF96&lt;&gt;"")),1,"")</f>
        <v/>
      </c>
      <c r="AJ96" s="702"/>
      <c r="AK96" s="900">
        <f>MAX($H96,$L96,$Q96,$V96,$AA96,$AF96)</f>
        <v>0</v>
      </c>
      <c r="AL96" s="31"/>
      <c r="AM96" s="29"/>
      <c r="AN96" s="29"/>
      <c r="AO96" s="29"/>
      <c r="AP96" s="29"/>
    </row>
    <row r="97" spans="2:42" ht="15" customHeight="1">
      <c r="B97" s="33"/>
      <c r="C97" s="29"/>
      <c r="D97" s="47" t="s">
        <v>296</v>
      </c>
      <c r="F97" s="190" t="str">
        <f>F$49</f>
        <v/>
      </c>
      <c r="G97" s="190"/>
      <c r="H97" s="587" t="str">
        <f>IF(AND(code0&lt;&gt;"",'I2'!$I$35&lt;&gt;""),'I2'!$I$35,"")</f>
        <v/>
      </c>
      <c r="I97" s="1"/>
      <c r="J97" s="890" t="str">
        <f t="shared" ref="J97:J100" si="42">IF(H97=$AK97,1,"")</f>
        <v/>
      </c>
      <c r="K97" s="702"/>
      <c r="L97" s="587" t="str">
        <f>IF(AND(code0&lt;&gt;"",'I2'!$P$35&lt;&gt;""),'I2'!$P$35,"")</f>
        <v/>
      </c>
      <c r="M97" s="1"/>
      <c r="N97" s="890" t="str">
        <f t="shared" ref="N97:N100" si="43">IF(L97=$AK97,1,"")</f>
        <v/>
      </c>
      <c r="O97" s="894" t="str">
        <f>IF(OR(AND(p_gv_move=2,L97&lt;=$H97,p_traveltime=TRUE,$H97&lt;&gt;"",L97&lt;&gt;""),AND(p_gv_move=1,L97&lt;$H97,p_traveltime=TRUE,$H97&lt;&gt;"",L97&lt;&gt;"")),1,"")</f>
        <v/>
      </c>
      <c r="P97" s="702"/>
      <c r="Q97" s="587" t="str">
        <f>IF(AND(code0&lt;&gt;"",'I2'!$W$35&lt;&gt;""),'I2'!$W$35,"")</f>
        <v/>
      </c>
      <c r="R97" s="1"/>
      <c r="S97" s="890" t="str">
        <f t="shared" ref="S97:S100" si="44">IF(Q97=$AK97,1,"")</f>
        <v/>
      </c>
      <c r="T97" s="894" t="str">
        <f>IF(OR(AND(p_gv_move=2,Q97&lt;=$H97,p_traveltime=TRUE,$H97&lt;&gt;"",Q97&lt;&gt;""),AND(p_gv_move=1,Q97&lt;$H97,p_traveltime=TRUE,$H97&lt;&gt;"",Q97&lt;&gt;"")),1,"")</f>
        <v/>
      </c>
      <c r="U97" s="702"/>
      <c r="V97" s="587" t="str">
        <f>IF(AND(code0&lt;&gt;"",'I2'!$AD$35&lt;&gt;""),'I2'!$AD$35,"")</f>
        <v/>
      </c>
      <c r="W97" s="1"/>
      <c r="X97" s="890" t="str">
        <f t="shared" ref="X97:X100" si="45">IF(V97=$AK97,1,"")</f>
        <v/>
      </c>
      <c r="Y97" s="894" t="str">
        <f>IF(OR(AND(p_gv_move=2,V97&lt;=$H97,p_traveltime=TRUE,$H97&lt;&gt;"",V97&lt;&gt;""),AND(p_gv_move=1,V97&lt;$H97,p_traveltime=TRUE,$H97&lt;&gt;"",V97&lt;&gt;"")),1,"")</f>
        <v/>
      </c>
      <c r="Z97" s="702"/>
      <c r="AA97" s="587" t="str">
        <f>IF(AND(code0&lt;&gt;"",'I2'!$AK$35&lt;&gt;""),'I2'!$AK$35,"")</f>
        <v/>
      </c>
      <c r="AB97" s="1"/>
      <c r="AC97" s="890" t="str">
        <f t="shared" ref="AC97:AC100" si="46">IF(AA97=$AK97,1,"")</f>
        <v/>
      </c>
      <c r="AD97" s="894" t="str">
        <f>IF(OR(AND(p_gv_move=2,AA97&lt;=$H97,p_traveltime=TRUE,$H97&lt;&gt;"",AA97&lt;&gt;""),AND(p_gv_move=1,AA97&lt;$H97,p_traveltime=TRUE,$H97&lt;&gt;"",AA97&lt;&gt;"")),1,"")</f>
        <v/>
      </c>
      <c r="AE97" s="702"/>
      <c r="AF97" s="587" t="str">
        <f>IF(AND(code0&lt;&gt;"",'I2'!$AR$35&lt;&gt;""),'I2'!$AR$35,"")</f>
        <v/>
      </c>
      <c r="AG97" s="1"/>
      <c r="AH97" s="890" t="str">
        <f t="shared" ref="AH97:AH100" si="47">IF(AF97=$AK97,1,"")</f>
        <v/>
      </c>
      <c r="AI97" s="894" t="str">
        <f>IF(OR(AND(p_gv_move=2,AF97&lt;=$H97,p_traveltime=TRUE,$H97&lt;&gt;"",AF97&lt;&gt;""),AND(p_gv_move=1,AF97&lt;$H97,p_traveltime=TRUE,$H97&lt;&gt;"",AF97&lt;&gt;"")),1,"")</f>
        <v/>
      </c>
      <c r="AJ97" s="702"/>
      <c r="AK97" s="900">
        <f>MIN($H97,$L97,$Q97,$V97,$AA97,$AF97)</f>
        <v>0</v>
      </c>
      <c r="AL97" s="31"/>
      <c r="AM97" s="29"/>
      <c r="AN97" s="29"/>
      <c r="AO97" s="29"/>
      <c r="AP97" s="29"/>
    </row>
    <row r="98" spans="2:42" ht="15" customHeight="1">
      <c r="B98" s="33"/>
      <c r="C98" s="29"/>
      <c r="D98" s="47" t="s">
        <v>19</v>
      </c>
      <c r="F98" s="190" t="str">
        <f>F$50</f>
        <v/>
      </c>
      <c r="G98" s="190"/>
      <c r="H98" s="587" t="str">
        <f>IF(AND(code0&lt;&gt;"",'I2'!$J$35&lt;&gt;""),'I2'!$J$35,"")</f>
        <v/>
      </c>
      <c r="I98" s="1"/>
      <c r="J98" s="890" t="str">
        <f t="shared" si="42"/>
        <v/>
      </c>
      <c r="K98" s="702"/>
      <c r="L98" s="587" t="str">
        <f>IF(AND(code0&lt;&gt;"",'I2'!$Q$35&lt;&gt;""),'I2'!$Q$35,"")</f>
        <v/>
      </c>
      <c r="M98" s="1"/>
      <c r="N98" s="890" t="str">
        <f t="shared" si="43"/>
        <v/>
      </c>
      <c r="O98" s="894" t="str">
        <f>IF(OR(AND(p_gv_move=2,L98&lt;=$H98,p_congestion=TRUE,$H98&lt;&gt;"",L98&lt;&gt;""),AND(p_gv_move=1,L98&lt;$H98,p_congestion=TRUE,$H98&lt;&gt;"",L98&lt;&gt;"")),1,"")</f>
        <v/>
      </c>
      <c r="P98" s="702"/>
      <c r="Q98" s="587" t="str">
        <f>IF(AND(code0&lt;&gt;"",'I2'!$X$35&lt;&gt;""),'I2'!$X$35,"")</f>
        <v/>
      </c>
      <c r="R98" s="1"/>
      <c r="S98" s="890" t="str">
        <f t="shared" si="44"/>
        <v/>
      </c>
      <c r="T98" s="894" t="str">
        <f>IF(OR(AND(p_gv_move=2,Q98&lt;=$H98,p_congestion=TRUE,$H98&lt;&gt;"",Q98&lt;&gt;""),AND(p_gv_move=1,Q98&lt;$H98,p_congestion=TRUE,$H98&lt;&gt;"",Q98&lt;&gt;"")),1,"")</f>
        <v/>
      </c>
      <c r="U98" s="702"/>
      <c r="V98" s="587" t="str">
        <f>IF(AND(code0&lt;&gt;"",'I2'!$AE$35&lt;&gt;""),'I2'!$AE$35,"")</f>
        <v/>
      </c>
      <c r="W98" s="1"/>
      <c r="X98" s="890" t="str">
        <f t="shared" si="45"/>
        <v/>
      </c>
      <c r="Y98" s="894" t="str">
        <f>IF(OR(AND(p_gv_move=2,V98&lt;=$H98,p_congestion=TRUE,$H98&lt;&gt;"",V98&lt;&gt;""),AND(p_gv_move=1,V98&lt;$H98,p_congestion=TRUE,$H98&lt;&gt;"",V98&lt;&gt;"")),1,"")</f>
        <v/>
      </c>
      <c r="Z98" s="702"/>
      <c r="AA98" s="587" t="str">
        <f>IF(AND(code0&lt;&gt;"",'I2'!$AL$35&lt;&gt;""),'I2'!$AL$35,"")</f>
        <v/>
      </c>
      <c r="AB98" s="1"/>
      <c r="AC98" s="890" t="str">
        <f t="shared" si="46"/>
        <v/>
      </c>
      <c r="AD98" s="894" t="str">
        <f>IF(OR(AND(p_gv_move=2,AA98&lt;=$H98,p_congestion=TRUE,$H98&lt;&gt;"",AA98&lt;&gt;""),AND(p_gv_move=1,AA98&lt;$H98,p_congestion=TRUE,$H98&lt;&gt;"",AA98&lt;&gt;"")),1,"")</f>
        <v/>
      </c>
      <c r="AE98" s="702"/>
      <c r="AF98" s="587" t="str">
        <f>IF(AND(code0&lt;&gt;"",'I2'!$AS$35&lt;&gt;""),'I2'!$AS$35,"")</f>
        <v/>
      </c>
      <c r="AG98" s="1"/>
      <c r="AH98" s="890" t="str">
        <f t="shared" si="47"/>
        <v/>
      </c>
      <c r="AI98" s="894" t="str">
        <f>IF(OR(AND(p_gv_move=2,AF98&lt;=$H98,p_congestion=TRUE,$H98&lt;&gt;"",AF98&lt;&gt;""),AND(p_gv_move=1,AF98&lt;$H98,p_congestion=TRUE,$H98&lt;&gt;"",AF98&lt;&gt;"")),1,"")</f>
        <v/>
      </c>
      <c r="AJ98" s="702"/>
      <c r="AK98" s="900">
        <f>MIN($H98,$L98,$Q98,$V98,$AA98,$AF98)</f>
        <v>0</v>
      </c>
      <c r="AL98" s="31"/>
      <c r="AM98" s="29"/>
      <c r="AN98" s="29"/>
      <c r="AO98" s="29"/>
      <c r="AP98" s="29"/>
    </row>
    <row r="99" spans="2:42" ht="15" customHeight="1">
      <c r="B99" s="33"/>
      <c r="C99" s="29"/>
      <c r="D99" s="47" t="s">
        <v>16</v>
      </c>
      <c r="F99" s="190" t="str">
        <f>F$51</f>
        <v/>
      </c>
      <c r="G99" s="190"/>
      <c r="H99" s="587" t="str">
        <f>IF(AND(code0&lt;&gt;"",'I2'!$K$35&lt;&gt;""),'I2'!$K$35,"")</f>
        <v/>
      </c>
      <c r="I99" s="1"/>
      <c r="J99" s="890" t="str">
        <f t="shared" si="42"/>
        <v/>
      </c>
      <c r="K99" s="702"/>
      <c r="L99" s="587" t="str">
        <f>IF(AND(code0&lt;&gt;"",'I2'!$R$35&lt;&gt;""),'I2'!$R$35,"")</f>
        <v/>
      </c>
      <c r="M99" s="1"/>
      <c r="N99" s="890" t="str">
        <f t="shared" si="43"/>
        <v/>
      </c>
      <c r="O99" s="894" t="str">
        <f>IF(OR(AND(p_gv_move=2,L99&lt;=$H99,p_reliability=TRUE,$H99&lt;&gt;"",L99&lt;&gt;""),AND(p_gv_move=1,L99&lt;$H99,p_reliability=TRUE,$H99&lt;&gt;"",L99&lt;&gt;"")),1,"")</f>
        <v/>
      </c>
      <c r="P99" s="702"/>
      <c r="Q99" s="587" t="str">
        <f>IF(AND(code0&lt;&gt;"",'I2'!$Y$35&lt;&gt;""),'I2'!$Y$35,"")</f>
        <v/>
      </c>
      <c r="R99" s="1"/>
      <c r="S99" s="890" t="str">
        <f t="shared" si="44"/>
        <v/>
      </c>
      <c r="T99" s="894" t="str">
        <f>IF(OR(AND(p_gv_move=2,Q99&lt;=$H99,p_reliability=TRUE,$H99&lt;&gt;"",Q99&lt;&gt;""),AND(p_gv_move=1,Q99&lt;$H99,p_reliability=TRUE,$H99&lt;&gt;"",Q99&lt;&gt;"")),1,"")</f>
        <v/>
      </c>
      <c r="U99" s="702"/>
      <c r="V99" s="587" t="str">
        <f>IF(AND(code0&lt;&gt;"",'I2'!$AF$35&lt;&gt;""),'I2'!$AF$35,"")</f>
        <v/>
      </c>
      <c r="W99" s="1"/>
      <c r="X99" s="890" t="str">
        <f t="shared" si="45"/>
        <v/>
      </c>
      <c r="Y99" s="894" t="str">
        <f>IF(OR(AND(p_gv_move=2,V99&lt;=$H99,p_reliability=TRUE,$H99&lt;&gt;"",V99&lt;&gt;""),AND(p_gv_move=1,V99&lt;$H99,p_reliability=TRUE,$H99&lt;&gt;"",V99&lt;&gt;"")),1,"")</f>
        <v/>
      </c>
      <c r="Z99" s="702"/>
      <c r="AA99" s="587" t="str">
        <f>IF(AND(code0&lt;&gt;"",'I2'!$AM$35&lt;&gt;""),'I2'!$AM$35,"")</f>
        <v/>
      </c>
      <c r="AB99" s="1"/>
      <c r="AC99" s="890" t="str">
        <f t="shared" si="46"/>
        <v/>
      </c>
      <c r="AD99" s="894" t="str">
        <f>IF(OR(AND(p_gv_move=2,AA99&lt;=$H99,p_reliability=TRUE,$H99&lt;&gt;"",AA99&lt;&gt;""),AND(p_gv_move=1,AA99&lt;$H99,p_reliability=TRUE,$H99&lt;&gt;"",AA99&lt;&gt;"")),1,"")</f>
        <v/>
      </c>
      <c r="AE99" s="702"/>
      <c r="AF99" s="587" t="str">
        <f>IF(AND(code0&lt;&gt;"",'I2'!$AT$35&lt;&gt;""),'I2'!$AT$35,"")</f>
        <v/>
      </c>
      <c r="AG99" s="1"/>
      <c r="AH99" s="890" t="str">
        <f t="shared" si="47"/>
        <v/>
      </c>
      <c r="AI99" s="894" t="str">
        <f>IF(OR(AND(p_gv_move=2,AF99&lt;=$H99,p_reliability=TRUE,$H99&lt;&gt;"",AF99&lt;&gt;""),AND(p_gv_move=1,AF99&lt;$H99,p_reliability=TRUE,$H99&lt;&gt;"",AF99&lt;&gt;"")),1,"")</f>
        <v/>
      </c>
      <c r="AJ99" s="702"/>
      <c r="AK99" s="900">
        <f>MIN($H99,$L99,$Q99,$V99,$AA99,$AF99)</f>
        <v>0</v>
      </c>
      <c r="AL99" s="31"/>
      <c r="AM99" s="29"/>
      <c r="AN99" s="29"/>
      <c r="AO99" s="29"/>
      <c r="AP99" s="29"/>
    </row>
    <row r="100" spans="2:42" ht="15" customHeight="1">
      <c r="B100" s="33"/>
      <c r="C100" s="59"/>
      <c r="D100" s="85" t="s">
        <v>18</v>
      </c>
      <c r="E100" s="59"/>
      <c r="F100" s="294" t="str">
        <f>F$52</f>
        <v/>
      </c>
      <c r="G100" s="190"/>
      <c r="H100" s="589" t="str">
        <f>IF(AND(code0&lt;&gt;"",'I2'!$L$35&lt;&gt;""),'I2'!$L$35,"")</f>
        <v/>
      </c>
      <c r="I100" s="1"/>
      <c r="J100" s="892" t="str">
        <f t="shared" si="42"/>
        <v/>
      </c>
      <c r="K100" s="703"/>
      <c r="L100" s="589" t="str">
        <f>IF(AND(code0&lt;&gt;"",'I2'!$S$35&lt;&gt;""),'I2'!$S$35,"")</f>
        <v/>
      </c>
      <c r="M100" s="1"/>
      <c r="N100" s="892" t="str">
        <f t="shared" si="43"/>
        <v/>
      </c>
      <c r="O100" s="895" t="str">
        <f>IF(OR(AND(p_gv_move=2,L100&gt;=$H100,p_tripquality=TRUE,$H100&lt;&gt;"",L100&lt;&gt;""),AND(p_gv_move=1,L100&gt;$H100,p_tripquality=TRUE,$H100&lt;&gt;"",L100&lt;&gt;"")),1,"")</f>
        <v/>
      </c>
      <c r="P100" s="703"/>
      <c r="Q100" s="590" t="str">
        <f>IF(AND(code0&lt;&gt;"",'I2'!$Z$35&lt;&gt;""),'I2'!$Z$35,"")</f>
        <v/>
      </c>
      <c r="R100" s="1"/>
      <c r="S100" s="892" t="str">
        <f t="shared" si="44"/>
        <v/>
      </c>
      <c r="T100" s="895" t="str">
        <f>IF(OR(AND(p_gv_move=2,Q100&gt;=$H100,p_tripquality=TRUE,$H100&lt;&gt;"",Q100&lt;&gt;""),AND(p_gv_move=1,Q100&gt;$H100,p_tripquality=TRUE,$H100&lt;&gt;"",Q100&lt;&gt;"")),1,"")</f>
        <v/>
      </c>
      <c r="U100" s="703"/>
      <c r="V100" s="590" t="str">
        <f>IF(AND(code0&lt;&gt;"",'I2'!$AG$35&lt;&gt;""),'I2'!$AG$35,"")</f>
        <v/>
      </c>
      <c r="W100" s="1"/>
      <c r="X100" s="892" t="str">
        <f t="shared" si="45"/>
        <v/>
      </c>
      <c r="Y100" s="895" t="str">
        <f>IF(OR(AND(p_gv_move=2,V100&gt;=$H100,p_tripquality=TRUE,$H100&lt;&gt;"",V100&lt;&gt;""),AND(p_gv_move=1,V100&gt;$H100,p_tripquality=TRUE,$H100&lt;&gt;"",V100&lt;&gt;"")),1,"")</f>
        <v/>
      </c>
      <c r="Z100" s="703"/>
      <c r="AA100" s="590" t="str">
        <f>IF(AND(code0&lt;&gt;"",'I2'!$AN$35&lt;&gt;""),'I2'!$AN$35,"")</f>
        <v/>
      </c>
      <c r="AB100" s="1"/>
      <c r="AC100" s="892" t="str">
        <f t="shared" si="46"/>
        <v/>
      </c>
      <c r="AD100" s="895" t="str">
        <f>IF(OR(AND(p_gv_move=2,AA100&gt;=$H100,p_tripquality=TRUE,$H100&lt;&gt;"",AA100&lt;&gt;""),AND(p_gv_move=1,AA100&gt;$H100,p_tripquality=TRUE,$H100&lt;&gt;"",AA100&lt;&gt;"")),1,"")</f>
        <v/>
      </c>
      <c r="AE100" s="703"/>
      <c r="AF100" s="590" t="str">
        <f>IF(AND(code0&lt;&gt;"",'I2'!$AU$35&lt;&gt;""),'I2'!$AU$35,"")</f>
        <v/>
      </c>
      <c r="AG100" s="1"/>
      <c r="AH100" s="890" t="str">
        <f t="shared" si="47"/>
        <v/>
      </c>
      <c r="AI100" s="894" t="str">
        <f>IF(OR(AND(p_gv_move=2,AF100&gt;=$H100,p_tripquality=TRUE,$H100&lt;&gt;"",AF100&lt;&gt;""),AND(p_gv_move=1,AF100&gt;$H100,p_tripquality=TRUE,$H100&lt;&gt;"",AF100&lt;&gt;"")),1,"")</f>
        <v/>
      </c>
      <c r="AJ100" s="702"/>
      <c r="AK100" s="900">
        <f>MIN($H100,$L100,$Q100,$V100,$AA100,$AF100)</f>
        <v>0</v>
      </c>
      <c r="AL100" s="31"/>
      <c r="AM100" s="29"/>
      <c r="AN100" s="29"/>
      <c r="AO100" s="29"/>
      <c r="AP100" s="29"/>
    </row>
    <row r="101" spans="2:42" ht="15" customHeight="1">
      <c r="B101" s="33"/>
      <c r="D101" s="47"/>
      <c r="F101" s="53"/>
      <c r="G101" s="748"/>
      <c r="H101" s="366"/>
      <c r="I101" s="1"/>
      <c r="J101" s="610"/>
      <c r="K101" s="704"/>
      <c r="L101" s="366"/>
      <c r="M101" s="1"/>
      <c r="N101" s="610"/>
      <c r="O101" s="711"/>
      <c r="P101" s="704"/>
      <c r="Q101" s="366"/>
      <c r="R101" s="1"/>
      <c r="S101" s="610"/>
      <c r="T101" s="711"/>
      <c r="U101" s="704"/>
      <c r="V101" s="366"/>
      <c r="W101" s="1"/>
      <c r="X101" s="610"/>
      <c r="Y101" s="711"/>
      <c r="Z101" s="704"/>
      <c r="AA101" s="366"/>
      <c r="AB101" s="1"/>
      <c r="AC101" s="610"/>
      <c r="AD101" s="711"/>
      <c r="AE101" s="704"/>
      <c r="AF101" s="366"/>
      <c r="AG101" s="1"/>
      <c r="AH101" s="610"/>
      <c r="AI101" s="711"/>
      <c r="AJ101" s="704"/>
      <c r="AK101" s="704"/>
      <c r="AL101" s="31"/>
      <c r="AM101" s="29"/>
      <c r="AN101" s="29"/>
      <c r="AO101" s="29"/>
      <c r="AP101" s="29"/>
    </row>
    <row r="102" spans="2:42" ht="15" customHeight="1">
      <c r="B102" s="33"/>
      <c r="C102" s="201" t="s">
        <v>108</v>
      </c>
      <c r="D102" s="85"/>
      <c r="E102" s="59"/>
      <c r="F102" s="749"/>
      <c r="G102" s="748"/>
      <c r="H102" s="749"/>
      <c r="I102" s="1"/>
      <c r="J102" s="609"/>
      <c r="K102" s="705"/>
      <c r="L102" s="749"/>
      <c r="M102" s="1"/>
      <c r="N102" s="609"/>
      <c r="O102" s="712"/>
      <c r="P102" s="705"/>
      <c r="Q102" s="749"/>
      <c r="R102" s="1"/>
      <c r="S102" s="609"/>
      <c r="T102" s="712"/>
      <c r="U102" s="705"/>
      <c r="V102" s="749"/>
      <c r="W102" s="1"/>
      <c r="X102" s="609"/>
      <c r="Y102" s="712"/>
      <c r="Z102" s="705"/>
      <c r="AA102" s="749"/>
      <c r="AB102" s="1"/>
      <c r="AC102" s="609"/>
      <c r="AD102" s="712"/>
      <c r="AE102" s="705"/>
      <c r="AF102" s="749"/>
      <c r="AG102" s="1"/>
      <c r="AH102" s="610"/>
      <c r="AI102" s="711"/>
      <c r="AJ102" s="704"/>
      <c r="AK102" s="704"/>
      <c r="AL102" s="31"/>
      <c r="AM102" s="29"/>
      <c r="AN102" s="29"/>
      <c r="AO102" s="29"/>
      <c r="AP102" s="29"/>
    </row>
    <row r="103" spans="2:42" ht="15" customHeight="1">
      <c r="B103" s="33"/>
      <c r="C103" s="49" t="s">
        <v>251</v>
      </c>
      <c r="D103" s="47"/>
      <c r="F103" s="748"/>
      <c r="G103" s="748"/>
      <c r="H103" s="748"/>
      <c r="I103" s="1"/>
      <c r="J103" s="610"/>
      <c r="K103" s="704"/>
      <c r="L103" s="748"/>
      <c r="M103" s="1"/>
      <c r="N103" s="610"/>
      <c r="O103" s="711"/>
      <c r="P103" s="704"/>
      <c r="Q103" s="748"/>
      <c r="R103" s="1"/>
      <c r="S103" s="610"/>
      <c r="T103" s="711"/>
      <c r="U103" s="704"/>
      <c r="V103" s="748"/>
      <c r="W103" s="1"/>
      <c r="X103" s="610"/>
      <c r="Y103" s="711"/>
      <c r="Z103" s="704"/>
      <c r="AA103" s="748"/>
      <c r="AB103" s="1"/>
      <c r="AC103" s="610"/>
      <c r="AD103" s="711"/>
      <c r="AE103" s="704"/>
      <c r="AF103" s="748"/>
      <c r="AG103" s="1"/>
      <c r="AH103" s="610"/>
      <c r="AI103" s="711"/>
      <c r="AJ103" s="704"/>
      <c r="AK103" s="704"/>
      <c r="AL103" s="31"/>
      <c r="AM103" s="29"/>
      <c r="AN103" s="29"/>
      <c r="AO103" s="29"/>
      <c r="AP103" s="29"/>
    </row>
    <row r="104" spans="2:42" ht="15" customHeight="1">
      <c r="B104" s="33"/>
      <c r="C104" s="29"/>
      <c r="D104" s="47" t="s">
        <v>258</v>
      </c>
      <c r="F104" s="182" t="s">
        <v>432</v>
      </c>
      <c r="G104" s="182"/>
      <c r="H104" s="588" t="str">
        <f>IF(code0="","",'I1'!F68)</f>
        <v/>
      </c>
      <c r="I104" s="1"/>
      <c r="J104" s="890" t="str">
        <f t="shared" ref="J104:J106" si="48">IF(AND(H104&gt;0,H104=$AK104),1,"")</f>
        <v/>
      </c>
      <c r="K104" s="702"/>
      <c r="L104" s="587" t="str">
        <f>IF(code1="","",'I1'!H68)</f>
        <v/>
      </c>
      <c r="M104" s="1"/>
      <c r="N104" s="890" t="str">
        <f t="shared" ref="N104:N106" si="49">IF(AND(L104&gt;0,L104=$AK104),1,"")</f>
        <v/>
      </c>
      <c r="O104" s="894" t="str">
        <f>IF(OR(AND(p_cycle_park=2,L104&lt;=$H104,$H104&lt;&gt;"",L104&lt;&gt;""),AND(p_cycle_park=1,L104&lt;$H104,$H104&lt;&gt;"",L104&lt;&gt;"")),1,"")</f>
        <v/>
      </c>
      <c r="P104" s="702"/>
      <c r="Q104" s="587" t="str">
        <f>IF(code2="","",'I1'!J68)</f>
        <v/>
      </c>
      <c r="R104" s="1"/>
      <c r="S104" s="890" t="str">
        <f t="shared" ref="S104:S106" si="50">IF(AND(Q104&gt;0,Q104=$AK104),1,"")</f>
        <v/>
      </c>
      <c r="T104" s="894" t="str">
        <f>IF(OR(AND(p_cycle_park=2,Q104&lt;=$H104,$H104&lt;&gt;"",Q104&lt;&gt;""),AND(p_cycle_park=1,Q104&lt;$H104,$H104&lt;&gt;"",Q104&lt;&gt;"")),1,"")</f>
        <v/>
      </c>
      <c r="U104" s="702"/>
      <c r="V104" s="587" t="str">
        <f>IF(code3="","",'I1'!L68)</f>
        <v/>
      </c>
      <c r="W104" s="1"/>
      <c r="X104" s="890" t="str">
        <f t="shared" ref="X104:X106" si="51">IF(AND(V104&gt;0,V104=$AK104),1,"")</f>
        <v/>
      </c>
      <c r="Y104" s="894" t="str">
        <f>IF(OR(AND(p_cycle_park=2,V104&lt;=$H104,$H104&lt;&gt;"",V104&lt;&gt;""),AND(p_cycle_park=1,V104&lt;$H104,$H104&lt;&gt;"",V104&lt;&gt;"")),1,"")</f>
        <v/>
      </c>
      <c r="Z104" s="702"/>
      <c r="AA104" s="587" t="str">
        <f>IF(code4="","",'I1'!N68)</f>
        <v/>
      </c>
      <c r="AB104" s="1"/>
      <c r="AC104" s="890" t="str">
        <f t="shared" ref="AC104:AC106" si="52">IF(AND(AA104&gt;0,AA104=$AK104),1,"")</f>
        <v/>
      </c>
      <c r="AD104" s="894" t="str">
        <f>IF(OR(AND(p_cycle_park=2,AA104&lt;=$H104,$H104&lt;&gt;"",AA104&lt;&gt;""),AND(p_cycle_park=1,AA104&lt;$H104,$H104&lt;&gt;"",AA104&lt;&gt;"")),1,"")</f>
        <v/>
      </c>
      <c r="AE104" s="702"/>
      <c r="AF104" s="587" t="str">
        <f>IF(code5="","",'I1'!P68)</f>
        <v/>
      </c>
      <c r="AG104" s="1"/>
      <c r="AH104" s="890" t="str">
        <f t="shared" ref="AH104:AH106" si="53">IF(AND(AF104&gt;0,AF104=$AK104),1,"")</f>
        <v/>
      </c>
      <c r="AI104" s="894" t="str">
        <f>IF(OR(AND(p_cycle_park=2,AF104&lt;=$H104,$H104&lt;&gt;"",AF104&lt;&gt;""),AND(p_cycle_park=1,AF104&lt;$H104,$H104&lt;&gt;"",AF104&lt;&gt;"")),1,"")</f>
        <v/>
      </c>
      <c r="AJ104" s="702"/>
      <c r="AK104" s="900">
        <f>MAX($H104,$L104,$Q104,$V104,$AA104,$AF104)</f>
        <v>0</v>
      </c>
      <c r="AL104" s="31"/>
      <c r="AM104" s="29"/>
      <c r="AN104" s="29"/>
      <c r="AO104" s="29"/>
      <c r="AP104" s="29"/>
    </row>
    <row r="105" spans="2:42" ht="15" customHeight="1">
      <c r="B105" s="33"/>
      <c r="C105" s="29"/>
      <c r="D105" s="47" t="s">
        <v>110</v>
      </c>
      <c r="F105" s="190" t="str">
        <f>IF('I3'!G25="","",'I3'!G25)</f>
        <v/>
      </c>
      <c r="G105" s="190"/>
      <c r="H105" s="588" t="str">
        <f>IF(AND(code0&lt;&gt;"",'I3'!$G$30&lt;&gt;""),'I3'!$G$30,"")</f>
        <v/>
      </c>
      <c r="I105" s="1"/>
      <c r="J105" s="890" t="str">
        <f t="shared" si="48"/>
        <v/>
      </c>
      <c r="K105" s="706"/>
      <c r="L105" s="587" t="str">
        <f>IF(AND(code1&lt;&gt;"",'I3'!$K$30&lt;&gt;""),'I3'!$K$30,"")</f>
        <v/>
      </c>
      <c r="M105" s="1"/>
      <c r="N105" s="890" t="str">
        <f t="shared" si="49"/>
        <v/>
      </c>
      <c r="O105" s="890" t="str">
        <f>IF(OR(AND(p_cycle_park=2,L105&lt;=$H105,$H105&lt;&gt;"",L105&lt;&gt;""),AND(p_cycle_park=1,L105&lt;$H105,$H105&lt;&gt;"",L105&lt;&gt;"")),1,"")</f>
        <v/>
      </c>
      <c r="P105" s="706"/>
      <c r="Q105" s="587" t="str">
        <f>IF(AND(code2&lt;&gt;"",'I3'!$O$30&lt;&gt;""),'I3'!$O$30,"")</f>
        <v/>
      </c>
      <c r="R105" s="1"/>
      <c r="S105" s="890" t="str">
        <f t="shared" si="50"/>
        <v/>
      </c>
      <c r="T105" s="890" t="str">
        <f>IF(OR(AND(p_cycle_park=2,Q105&lt;=$H105,$H105&lt;&gt;"",Q105&lt;&gt;""),AND(p_cycle_park=1,Q105&lt;$H105,$H105&lt;&gt;"",Q105&lt;&gt;"")),1,"")</f>
        <v/>
      </c>
      <c r="U105" s="706"/>
      <c r="V105" s="587" t="str">
        <f>IF(AND(code3&lt;&gt;"",'I3'!$S$30&lt;&gt;""),'I3'!$S$30,"")</f>
        <v/>
      </c>
      <c r="W105" s="1"/>
      <c r="X105" s="890" t="str">
        <f t="shared" si="51"/>
        <v/>
      </c>
      <c r="Y105" s="890" t="str">
        <f>IF(OR(AND(p_cycle_park=2,V105&lt;=$H105,$H105&lt;&gt;"",V105&lt;&gt;""),AND(p_cycle_park=1,V105&lt;$H105,$H105&lt;&gt;"",V105&lt;&gt;"")),1,"")</f>
        <v/>
      </c>
      <c r="Z105" s="706"/>
      <c r="AA105" s="587" t="str">
        <f>IF(AND(code4&lt;&gt;"",'I3'!$V$30&lt;&gt;""),'I3'!$V$30,"")</f>
        <v/>
      </c>
      <c r="AB105" s="1"/>
      <c r="AC105" s="890" t="str">
        <f t="shared" si="52"/>
        <v/>
      </c>
      <c r="AD105" s="890" t="str">
        <f>IF(OR(AND(p_cycle_park=2,AA105&lt;=$H105,$H105&lt;&gt;"",AA105&lt;&gt;""),AND(p_cycle_park=1,AA105&lt;$H105,$H105&lt;&gt;"",AA105&lt;&gt;"")),1,"")</f>
        <v/>
      </c>
      <c r="AE105" s="706"/>
      <c r="AF105" s="587" t="str">
        <f>IF(AND(code5&lt;&gt;"",'I3'!$AA$30&lt;&gt;""),'I3'!$AA$30,"")</f>
        <v/>
      </c>
      <c r="AG105" s="1"/>
      <c r="AH105" s="890" t="str">
        <f t="shared" si="53"/>
        <v/>
      </c>
      <c r="AI105" s="890" t="str">
        <f>IF(OR(AND(p_cycle_park=2,AF105&lt;=$H105,$H105&lt;&gt;"",AF105&lt;&gt;""),AND(p_cycle_park=1,AF105&lt;$H105,$H105&lt;&gt;"",AF105&lt;&gt;"")),1,"")</f>
        <v/>
      </c>
      <c r="AJ105" s="706"/>
      <c r="AK105" s="900">
        <f>MAX($H105,$L105,$Q105,$V105,$AA105,$AF105)</f>
        <v>0</v>
      </c>
      <c r="AL105" s="31"/>
      <c r="AM105" s="29"/>
      <c r="AN105" s="29"/>
      <c r="AO105" s="29"/>
      <c r="AP105" s="29"/>
    </row>
    <row r="106" spans="2:42" ht="15" customHeight="1">
      <c r="B106" s="33"/>
      <c r="C106" s="29"/>
      <c r="D106" s="47" t="s">
        <v>36</v>
      </c>
      <c r="F106" s="190" t="str">
        <f>IF('I3'!H25="","",'I3'!H25)</f>
        <v/>
      </c>
      <c r="G106" s="190"/>
      <c r="H106" s="587" t="str">
        <f>IF(AND(code0&lt;&gt;"",'I3'!$H$30&lt;&gt;""),'I3'!$H$30,"")</f>
        <v/>
      </c>
      <c r="I106" s="1"/>
      <c r="J106" s="890" t="str">
        <f t="shared" si="48"/>
        <v/>
      </c>
      <c r="K106" s="702"/>
      <c r="L106" s="587" t="str">
        <f>IF(AND(code1&lt;&gt;"",'I3'!$L$30&lt;&gt;""),'I3'!$L$30,"")</f>
        <v/>
      </c>
      <c r="M106" s="1"/>
      <c r="N106" s="890" t="str">
        <f t="shared" si="49"/>
        <v/>
      </c>
      <c r="O106" s="894" t="str">
        <f>IF(OR(AND(p_cycle_park=2,L106&lt;=$H106,$H106&lt;&gt;"",L106&lt;&gt;""),AND(p_cycle_park=1,L106&lt;$H106,$H106&lt;&gt;"",L106&lt;&gt;"")),1,"")</f>
        <v/>
      </c>
      <c r="P106" s="702"/>
      <c r="Q106" s="587" t="str">
        <f>IF(AND(code2&lt;&gt;"",'I3'!$P$30&lt;&gt;""),'I3'!$P$30,"")</f>
        <v/>
      </c>
      <c r="R106" s="1"/>
      <c r="S106" s="890" t="str">
        <f t="shared" si="50"/>
        <v/>
      </c>
      <c r="T106" s="894" t="str">
        <f>IF(OR(AND(p_cycle_park=2,Q106&lt;=$H106,$H106&lt;&gt;"",Q106&lt;&gt;""),AND(p_cycle_park=1,Q106&lt;$H106,$H106&lt;&gt;"",Q106&lt;&gt;"")),1,"")</f>
        <v/>
      </c>
      <c r="U106" s="702"/>
      <c r="V106" s="587" t="str">
        <f>IF(AND(code3&lt;&gt;"",'I3'!$T$30&lt;&gt;""),'I3'!$T$30,"")</f>
        <v/>
      </c>
      <c r="W106" s="1"/>
      <c r="X106" s="890" t="str">
        <f t="shared" si="51"/>
        <v/>
      </c>
      <c r="Y106" s="894" t="str">
        <f>IF(OR(AND(p_cycle_park=2,V106&lt;=$H106,$H106&lt;&gt;"",V106&lt;&gt;""),AND(p_cycle_park=1,V106&lt;$H106,$H106&lt;&gt;"",V106&lt;&gt;"")),1,"")</f>
        <v/>
      </c>
      <c r="Z106" s="702"/>
      <c r="AA106" s="587" t="str">
        <f>IF(AND(code4&lt;&gt;"",'I3'!$W$30&lt;&gt;""),'I3'!$W$30,"")</f>
        <v/>
      </c>
      <c r="AB106" s="1"/>
      <c r="AC106" s="890" t="str">
        <f t="shared" si="52"/>
        <v/>
      </c>
      <c r="AD106" s="894" t="str">
        <f>IF(OR(AND(p_cycle_park=2,AA106&lt;=$H106,$H106&lt;&gt;"",AA106&lt;&gt;""),AND(p_cycle_park=1,AA106&lt;$H106,$H106&lt;&gt;"",AA106&lt;&gt;"")),1,"")</f>
        <v/>
      </c>
      <c r="AE106" s="702"/>
      <c r="AF106" s="587" t="str">
        <f>IF(AND(code5&lt;&gt;"",'I3'!$AB$30&lt;&gt;""),'I3'!$AB$30,"")</f>
        <v/>
      </c>
      <c r="AG106" s="1"/>
      <c r="AH106" s="890" t="str">
        <f t="shared" si="53"/>
        <v/>
      </c>
      <c r="AI106" s="894" t="str">
        <f>IF(OR(AND(p_cycle_park=2,AF106&lt;=$H106,$H106&lt;&gt;"",AF106&lt;&gt;""),AND(p_cycle_park=1,AF106&lt;$H106,$H106&lt;&gt;"",AF106&lt;&gt;"")),1,"")</f>
        <v/>
      </c>
      <c r="AJ106" s="702"/>
      <c r="AK106" s="900">
        <f>MAX($H106,$L106,$Q106,$V106,$AA106,$AF106)</f>
        <v>0</v>
      </c>
      <c r="AL106" s="31"/>
      <c r="AM106" s="29"/>
      <c r="AN106" s="29"/>
      <c r="AO106" s="29"/>
      <c r="AP106" s="29"/>
    </row>
    <row r="107" spans="2:42" ht="15" customHeight="1">
      <c r="B107" s="33"/>
      <c r="C107" s="59"/>
      <c r="D107" s="85" t="s">
        <v>17</v>
      </c>
      <c r="E107" s="59"/>
      <c r="F107" s="294" t="str">
        <f>IF('I3'!I25="","",'I3'!I25)</f>
        <v/>
      </c>
      <c r="G107" s="190"/>
      <c r="H107" s="590" t="str">
        <f>IF(AND(code0&lt;&gt;"",'I3'!$I$30&lt;&gt;""),'I3'!$I$30,"")</f>
        <v/>
      </c>
      <c r="I107" s="1"/>
      <c r="J107" s="892" t="str">
        <f t="shared" ref="J107" si="54">IF(H107=$AK107,1,"")</f>
        <v/>
      </c>
      <c r="K107" s="703"/>
      <c r="L107" s="589" t="str">
        <f>IF(AND(code1&lt;&gt;"",'I3'!$M$30&lt;&gt;""),'I3'!$M$30,"")</f>
        <v/>
      </c>
      <c r="M107" s="1"/>
      <c r="N107" s="892" t="str">
        <f t="shared" ref="N107" si="55">IF(L107=$AK107,1,"")</f>
        <v/>
      </c>
      <c r="O107" s="895" t="str">
        <f>IF(OR(AND(p_cycle_park=2,L107&gt;=$H107,$H107&lt;&gt;"",L107&lt;&gt;""),AND(p_cycle_park=1,L107&gt;$H107,$H107&lt;&gt;"",L107&lt;&gt;"")),1,"")</f>
        <v/>
      </c>
      <c r="P107" s="703"/>
      <c r="Q107" s="589" t="str">
        <f>IF(AND(code2&lt;&gt;"",'I3'!$Q$30&lt;&gt;""),'I3'!$Q$30,"")</f>
        <v/>
      </c>
      <c r="R107" s="1"/>
      <c r="S107" s="892" t="str">
        <f t="shared" ref="S107" si="56">IF(Q107=$AK107,1,"")</f>
        <v/>
      </c>
      <c r="T107" s="895" t="str">
        <f>IF(OR(AND(p_cycle_park=2,Q107&gt;=$H107,$H107&lt;&gt;"",Q107&lt;&gt;""),AND(p_cycle_park=1,Q107&gt;$H107,$H107&lt;&gt;"",Q107&lt;&gt;"")),1,"")</f>
        <v/>
      </c>
      <c r="U107" s="703"/>
      <c r="V107" s="589" t="str">
        <f>IF(AND(code3&lt;&gt;"",'I3'!$U$30&lt;&gt;""),'I3'!$U$30,"")</f>
        <v/>
      </c>
      <c r="W107" s="1"/>
      <c r="X107" s="892" t="str">
        <f t="shared" ref="X107" si="57">IF(V107=$AK107,1,"")</f>
        <v/>
      </c>
      <c r="Y107" s="895" t="str">
        <f>IF(OR(AND(p_cycle_park=2,V107&gt;=$H107,$H107&lt;&gt;"",V107&lt;&gt;""),AND(p_cycle_park=1,V107&gt;$H107,$H107&lt;&gt;"",V107&lt;&gt;"")),1,"")</f>
        <v/>
      </c>
      <c r="Z107" s="703"/>
      <c r="AA107" s="589" t="str">
        <f>IF(AND(code4&lt;&gt;"",'I3'!$X$30&lt;&gt;""),'I3'!$X$30,"")</f>
        <v/>
      </c>
      <c r="AB107" s="1"/>
      <c r="AC107" s="892" t="str">
        <f t="shared" ref="AC107" si="58">IF(AA107=$AK107,1,"")</f>
        <v/>
      </c>
      <c r="AD107" s="895" t="str">
        <f>IF(OR(AND(p_cycle_park=2,AA107&gt;=$H107,$H107&lt;&gt;"",AA107&lt;&gt;""),AND(p_cycle_park=1,AA107&gt;$H107,$H107&lt;&gt;"",AA107&lt;&gt;"")),1,"")</f>
        <v/>
      </c>
      <c r="AE107" s="703"/>
      <c r="AF107" s="589" t="str">
        <f>IF(AND(code5&lt;&gt;"",'I3'!$AC$30&lt;&gt;""),'I3'!$AC$30,"")</f>
        <v/>
      </c>
      <c r="AG107" s="1"/>
      <c r="AH107" s="890" t="str">
        <f t="shared" ref="AH107" si="59">IF(AF107=$AK107,1,"")</f>
        <v/>
      </c>
      <c r="AI107" s="894" t="str">
        <f>IF(OR(AND(p_cycle_park=2,AF107&gt;=$H107,$H107&lt;&gt;"",AF107&lt;&gt;""),AND(p_cycle_park=1,AF107&gt;$H107,$H107&lt;&gt;"",AF107&lt;&gt;"")),1,"")</f>
        <v/>
      </c>
      <c r="AJ107" s="702"/>
      <c r="AK107" s="900">
        <f>MIN($H107,$L107,$Q107,$V107,$AA107,$AF107)</f>
        <v>0</v>
      </c>
      <c r="AL107" s="31"/>
      <c r="AM107" s="29"/>
      <c r="AN107" s="29"/>
      <c r="AO107" s="29"/>
      <c r="AP107" s="29"/>
    </row>
    <row r="108" spans="2:42" ht="15" customHeight="1">
      <c r="B108" s="33"/>
      <c r="C108" s="49" t="s">
        <v>266</v>
      </c>
      <c r="D108" s="47"/>
      <c r="F108" s="748"/>
      <c r="G108" s="748"/>
      <c r="H108" s="421"/>
      <c r="I108" s="1"/>
      <c r="J108" s="709"/>
      <c r="K108" s="704"/>
      <c r="L108" s="421"/>
      <c r="M108" s="1"/>
      <c r="N108" s="709"/>
      <c r="O108" s="711"/>
      <c r="P108" s="704"/>
      <c r="Q108" s="421"/>
      <c r="R108" s="1"/>
      <c r="S108" s="709"/>
      <c r="T108" s="711"/>
      <c r="U108" s="704"/>
      <c r="V108" s="421"/>
      <c r="W108" s="1"/>
      <c r="X108" s="709"/>
      <c r="Y108" s="711"/>
      <c r="Z108" s="704"/>
      <c r="AA108" s="421"/>
      <c r="AB108" s="1"/>
      <c r="AC108" s="709"/>
      <c r="AD108" s="711"/>
      <c r="AE108" s="704"/>
      <c r="AF108" s="748"/>
      <c r="AG108" s="1"/>
      <c r="AH108" s="709"/>
      <c r="AI108" s="711"/>
      <c r="AJ108" s="704"/>
      <c r="AK108" s="704"/>
      <c r="AL108" s="31"/>
      <c r="AM108" s="29"/>
      <c r="AN108" s="29"/>
      <c r="AO108" s="29"/>
      <c r="AP108" s="29"/>
    </row>
    <row r="109" spans="2:42" ht="15" customHeight="1">
      <c r="B109" s="33"/>
      <c r="C109" s="29"/>
      <c r="D109" s="47" t="s">
        <v>258</v>
      </c>
      <c r="F109" s="182" t="s">
        <v>432</v>
      </c>
      <c r="G109" s="182"/>
      <c r="H109" s="588" t="str">
        <f>IF(code0="","",'I1'!F69)</f>
        <v/>
      </c>
      <c r="I109" s="1"/>
      <c r="J109" s="890" t="str">
        <f t="shared" ref="J109:J111" si="60">IF(AND(H109&gt;0,H109=$AK109),1,"")</f>
        <v/>
      </c>
      <c r="K109" s="702"/>
      <c r="L109" s="587" t="str">
        <f>IF(code1="","",'I1'!H69)</f>
        <v/>
      </c>
      <c r="M109" s="1"/>
      <c r="N109" s="890" t="str">
        <f t="shared" ref="N109:N111" si="61">IF(AND(L109&gt;0,L109=$AK109),1,"")</f>
        <v/>
      </c>
      <c r="O109" s="894" t="str">
        <f>IF(OR(AND(p_cycle_dock=2,L109&lt;=$H109,$H109&lt;&gt;"",L109&lt;&gt;""),AND(p_cycle_dock=1,L109&lt;$H109,$H109&lt;&gt;"",L109&lt;&gt;"")),1,"")</f>
        <v/>
      </c>
      <c r="P109" s="702"/>
      <c r="Q109" s="587" t="str">
        <f>IF(code2="","",'I1'!J69)</f>
        <v/>
      </c>
      <c r="R109" s="1"/>
      <c r="S109" s="890" t="str">
        <f t="shared" ref="S109:S111" si="62">IF(AND(Q109&gt;0,Q109=$AK109),1,"")</f>
        <v/>
      </c>
      <c r="T109" s="894" t="str">
        <f>IF(OR(AND(p_cycle_dock=2,Q109&lt;=$H109,$H109&lt;&gt;"",Q109&lt;&gt;""),AND(p_cycle_dock=1,Q109&lt;$H109,$H109&lt;&gt;"",Q109&lt;&gt;"")),1,"")</f>
        <v/>
      </c>
      <c r="U109" s="702"/>
      <c r="V109" s="587" t="str">
        <f>IF(code3="","",'I1'!L69)</f>
        <v/>
      </c>
      <c r="W109" s="1"/>
      <c r="X109" s="890" t="str">
        <f t="shared" ref="X109:X111" si="63">IF(AND(V109&gt;0,V109=$AK109),1,"")</f>
        <v/>
      </c>
      <c r="Y109" s="894" t="str">
        <f>IF(OR(AND(p_cycle_dock=2,V109&lt;=$H109,$H109&lt;&gt;"",V109&lt;&gt;""),AND(p_cycle_dock=1,V109&lt;$H109,$H109&lt;&gt;"",V109&lt;&gt;"")),1,"")</f>
        <v/>
      </c>
      <c r="Z109" s="702"/>
      <c r="AA109" s="587" t="str">
        <f>IF(code4="","",'I1'!N69)</f>
        <v/>
      </c>
      <c r="AB109" s="1"/>
      <c r="AC109" s="890" t="str">
        <f t="shared" ref="AC109:AC111" si="64">IF(AND(AA109&gt;0,AA109=$AK109),1,"")</f>
        <v/>
      </c>
      <c r="AD109" s="894" t="str">
        <f>IF(OR(AND(p_cycle_dock=2,AA109&lt;=$H109,$H109&lt;&gt;"",AA109&lt;&gt;""),AND(p_cycle_dock=1,AA109&lt;$H109,$H109&lt;&gt;"",AA109&lt;&gt;"")),1,"")</f>
        <v/>
      </c>
      <c r="AE109" s="702"/>
      <c r="AF109" s="587" t="str">
        <f>IF(code5="","",'I1'!P69)</f>
        <v/>
      </c>
      <c r="AG109" s="1"/>
      <c r="AH109" s="890" t="str">
        <f t="shared" ref="AH109:AH111" si="65">IF(AND(AF109&gt;0,AF109=$AK109),1,"")</f>
        <v/>
      </c>
      <c r="AI109" s="894" t="str">
        <f>IF(OR(AND(p_cycle_dock=2,AF109&lt;=$H109,$H109&lt;&gt;"",AF109&lt;&gt;""),AND(p_cycle_dock=1,AF109&lt;$H109,$H109&lt;&gt;"",AF109&lt;&gt;"")),1,"")</f>
        <v/>
      </c>
      <c r="AJ109" s="702"/>
      <c r="AK109" s="900">
        <f>MAX($H109,$L109,$Q109,$V109,$AA109,$AF109)</f>
        <v>0</v>
      </c>
      <c r="AL109" s="31"/>
      <c r="AM109" s="29"/>
      <c r="AN109" s="29"/>
      <c r="AO109" s="29"/>
      <c r="AP109" s="29"/>
    </row>
    <row r="110" spans="2:42" ht="15" customHeight="1">
      <c r="B110" s="33"/>
      <c r="C110" s="29"/>
      <c r="D110" s="47" t="s">
        <v>110</v>
      </c>
      <c r="F110" s="190" t="str">
        <f>F$105</f>
        <v/>
      </c>
      <c r="G110" s="190"/>
      <c r="H110" s="588" t="str">
        <f>IF(AND(code0&lt;&gt;"",'I3'!$G$31&lt;&gt;""),'I3'!$G$31,"")</f>
        <v/>
      </c>
      <c r="I110" s="1"/>
      <c r="J110" s="890" t="str">
        <f t="shared" si="60"/>
        <v/>
      </c>
      <c r="K110" s="706"/>
      <c r="L110" s="587" t="str">
        <f>IF(AND(code1&lt;&gt;"",'I3'!$K$31&lt;&gt;""),'I3'!$K$31,"")</f>
        <v/>
      </c>
      <c r="M110" s="1"/>
      <c r="N110" s="890" t="str">
        <f t="shared" si="61"/>
        <v/>
      </c>
      <c r="O110" s="890" t="str">
        <f>IF(OR(AND(p_cycle_dock=2,L110&lt;=$H110,$H110&lt;&gt;"",L110&lt;&gt;""),AND(p_cycle_dock=1,L110&lt;$H110,$H110&lt;&gt;"",L110&lt;&gt;"")),1,"")</f>
        <v/>
      </c>
      <c r="P110" s="706"/>
      <c r="Q110" s="587" t="str">
        <f>IF(AND(code2&lt;&gt;"",'I3'!$O$31&lt;&gt;""),'I3'!$O$31,"")</f>
        <v/>
      </c>
      <c r="R110" s="1"/>
      <c r="S110" s="890" t="str">
        <f t="shared" si="62"/>
        <v/>
      </c>
      <c r="T110" s="890" t="str">
        <f>IF(OR(AND(p_cycle_dock=2,Q110&lt;=$H110,$H110&lt;&gt;"",Q110&lt;&gt;""),AND(p_cycle_dock=1,Q110&lt;$H110,$H110&lt;&gt;"",Q110&lt;&gt;"")),1,"")</f>
        <v/>
      </c>
      <c r="U110" s="706"/>
      <c r="V110" s="587" t="str">
        <f>IF(AND(code3&lt;&gt;"",'I3'!$S$31&lt;&gt;""),'I3'!$S$31,"")</f>
        <v/>
      </c>
      <c r="W110" s="1"/>
      <c r="X110" s="890" t="str">
        <f t="shared" si="63"/>
        <v/>
      </c>
      <c r="Y110" s="890" t="str">
        <f>IF(OR(AND(p_cycle_dock=2,V110&lt;=$H110,$H110&lt;&gt;"",V110&lt;&gt;""),AND(p_cycle_dock=1,V110&lt;$H110,$H110&lt;&gt;"",V110&lt;&gt;"")),1,"")</f>
        <v/>
      </c>
      <c r="Z110" s="706"/>
      <c r="AA110" s="587" t="str">
        <f>IF(AND(code4&lt;&gt;"",'I3'!$V$31&lt;&gt;""),'I3'!$V$31,"")</f>
        <v/>
      </c>
      <c r="AB110" s="1"/>
      <c r="AC110" s="890" t="str">
        <f t="shared" si="64"/>
        <v/>
      </c>
      <c r="AD110" s="890" t="str">
        <f>IF(OR(AND(p_cycle_dock=2,AA110&lt;=$H110,$H110&lt;&gt;"",AA110&lt;&gt;""),AND(p_cycle_dock=1,AA110&lt;$H110,$H110&lt;&gt;"",AA110&lt;&gt;"")),1,"")</f>
        <v/>
      </c>
      <c r="AE110" s="706"/>
      <c r="AF110" s="587" t="str">
        <f>IF(AND(code5&lt;&gt;"",'I3'!$AA$31&lt;&gt;""),'I3'!$AA$31,"")</f>
        <v/>
      </c>
      <c r="AG110" s="1"/>
      <c r="AH110" s="890" t="str">
        <f t="shared" si="65"/>
        <v/>
      </c>
      <c r="AI110" s="890" t="str">
        <f>IF(OR(AND(p_cycle_dock=2,AF110&lt;=$H110,$H110&lt;&gt;"",AF110&lt;&gt;""),AND(p_cycle_dock=1,AF110&lt;$H110,$H110&lt;&gt;"",AF110&lt;&gt;"")),1,"")</f>
        <v/>
      </c>
      <c r="AJ110" s="706"/>
      <c r="AK110" s="900">
        <f>MAX($H110,$L110,$Q110,$V110,$AA110,$AF110)</f>
        <v>0</v>
      </c>
      <c r="AL110" s="31"/>
      <c r="AM110" s="29"/>
      <c r="AN110" s="29"/>
      <c r="AO110" s="29"/>
      <c r="AP110" s="29"/>
    </row>
    <row r="111" spans="2:42" ht="15" customHeight="1">
      <c r="B111" s="33"/>
      <c r="C111" s="29"/>
      <c r="D111" s="47" t="s">
        <v>36</v>
      </c>
      <c r="F111" s="190" t="str">
        <f>F$106</f>
        <v/>
      </c>
      <c r="G111" s="190"/>
      <c r="H111" s="587" t="str">
        <f>IF(AND(code0&lt;&gt;"",'I3'!$H$31&lt;&gt;""),'I3'!$H$31,"")</f>
        <v/>
      </c>
      <c r="I111" s="1"/>
      <c r="J111" s="890" t="str">
        <f t="shared" si="60"/>
        <v/>
      </c>
      <c r="K111" s="702"/>
      <c r="L111" s="587" t="str">
        <f>IF(AND(code1&lt;&gt;"",'I3'!$L$31&lt;&gt;""),'I3'!$L$31,"")</f>
        <v/>
      </c>
      <c r="M111" s="1"/>
      <c r="N111" s="890" t="str">
        <f t="shared" si="61"/>
        <v/>
      </c>
      <c r="O111" s="894" t="str">
        <f>IF(OR(AND(p_cycle_dock=2,L111&lt;=$H111,$H111&lt;&gt;"",L111&lt;&gt;""),AND(p_cycle_dock=1,L111&lt;$H111,$H111&lt;&gt;"",L111&lt;&gt;"")),1,"")</f>
        <v/>
      </c>
      <c r="P111" s="702"/>
      <c r="Q111" s="587" t="str">
        <f>IF(AND(code2&lt;&gt;"",'I3'!$P$31&lt;&gt;""),'I3'!$P$31,"")</f>
        <v/>
      </c>
      <c r="R111" s="1"/>
      <c r="S111" s="890" t="str">
        <f t="shared" si="62"/>
        <v/>
      </c>
      <c r="T111" s="894" t="str">
        <f>IF(OR(AND(p_cycle_dock=2,Q111&lt;=$H111,$H111&lt;&gt;"",Q111&lt;&gt;""),AND(p_cycle_dock=1,Q111&lt;$H111,$H111&lt;&gt;"",Q111&lt;&gt;"")),1,"")</f>
        <v/>
      </c>
      <c r="U111" s="702"/>
      <c r="V111" s="587" t="str">
        <f>IF(AND(code3&lt;&gt;"",'I3'!$T$31&lt;&gt;""),'I3'!$T$31,"")</f>
        <v/>
      </c>
      <c r="W111" s="1"/>
      <c r="X111" s="890" t="str">
        <f t="shared" si="63"/>
        <v/>
      </c>
      <c r="Y111" s="894" t="str">
        <f>IF(OR(AND(p_cycle_dock=2,V111&lt;=$H111,$H111&lt;&gt;"",V111&lt;&gt;""),AND(p_cycle_dock=1,V111&lt;$H111,$H111&lt;&gt;"",V111&lt;&gt;"")),1,"")</f>
        <v/>
      </c>
      <c r="Z111" s="702"/>
      <c r="AA111" s="587" t="str">
        <f>IF(AND(code4&lt;&gt;"",'I3'!$W$31&lt;&gt;""),'I3'!$W$31,"")</f>
        <v/>
      </c>
      <c r="AB111" s="1"/>
      <c r="AC111" s="890" t="str">
        <f t="shared" si="64"/>
        <v/>
      </c>
      <c r="AD111" s="894" t="str">
        <f>IF(OR(AND(p_cycle_dock=2,AA111&lt;=$H111,$H111&lt;&gt;"",AA111&lt;&gt;""),AND(p_cycle_dock=1,AA111&lt;$H111,$H111&lt;&gt;"",AA111&lt;&gt;"")),1,"")</f>
        <v/>
      </c>
      <c r="AE111" s="702"/>
      <c r="AF111" s="587" t="str">
        <f>IF(AND(code5&lt;&gt;"",'I3'!$AB$31&lt;&gt;""),'I3'!$AB$31,"")</f>
        <v/>
      </c>
      <c r="AG111" s="1"/>
      <c r="AH111" s="890" t="str">
        <f t="shared" si="65"/>
        <v/>
      </c>
      <c r="AI111" s="894" t="str">
        <f>IF(OR(AND(p_cycle_dock=2,AF111&lt;=$H111,$H111&lt;&gt;"",AF111&lt;&gt;""),AND(p_cycle_dock=1,AF111&lt;$H111,$H111&lt;&gt;"",AF111&lt;&gt;"")),1,"")</f>
        <v/>
      </c>
      <c r="AJ111" s="702"/>
      <c r="AK111" s="900">
        <f>MAX($H111,$L111,$Q111,$V111,$AA111,$AF111)</f>
        <v>0</v>
      </c>
      <c r="AL111" s="31"/>
      <c r="AM111" s="29"/>
      <c r="AN111" s="29"/>
      <c r="AO111" s="29"/>
      <c r="AP111" s="29"/>
    </row>
    <row r="112" spans="2:42" ht="15" customHeight="1">
      <c r="B112" s="33"/>
      <c r="C112" s="59"/>
      <c r="D112" s="85" t="s">
        <v>17</v>
      </c>
      <c r="E112" s="59"/>
      <c r="F112" s="294" t="str">
        <f>F$107</f>
        <v/>
      </c>
      <c r="G112" s="190"/>
      <c r="H112" s="590" t="str">
        <f>IF(AND(code0&lt;&gt;"",'I3'!$I$31&lt;&gt;""),'I3'!$I$31,"")</f>
        <v/>
      </c>
      <c r="I112" s="1"/>
      <c r="J112" s="892" t="str">
        <f t="shared" ref="J112" si="66">IF(H112=$AK112,1,"")</f>
        <v/>
      </c>
      <c r="K112" s="703"/>
      <c r="L112" s="589" t="str">
        <f>IF(AND(code1&lt;&gt;"",'I3'!$M$31&lt;&gt;""),'I3'!$M$31,"")</f>
        <v/>
      </c>
      <c r="M112" s="1"/>
      <c r="N112" s="892" t="str">
        <f t="shared" ref="N112" si="67">IF(L112=$AK112,1,"")</f>
        <v/>
      </c>
      <c r="O112" s="895" t="str">
        <f>IF(OR(AND(p_cycle_dock=2,L112&gt;=$H112,$H112&lt;&gt;"",L112&lt;&gt;""),AND(p_cycle_dock=1,L112&gt;$H112,$H112&lt;&gt;"",L112&lt;&gt;"")),1,"")</f>
        <v/>
      </c>
      <c r="P112" s="703"/>
      <c r="Q112" s="589" t="str">
        <f>IF(AND(code2&lt;&gt;"",'I3'!$Q$31&lt;&gt;""),'I3'!$Q$31,"")</f>
        <v/>
      </c>
      <c r="R112" s="1"/>
      <c r="S112" s="892" t="str">
        <f t="shared" ref="S112" si="68">IF(Q112=$AK112,1,"")</f>
        <v/>
      </c>
      <c r="T112" s="895" t="str">
        <f>IF(OR(AND(p_cycle_dock=2,Q112&gt;=$H112,$H112&lt;&gt;"",Q112&lt;&gt;""),AND(p_cycle_dock=1,Q112&gt;$H112,$H112&lt;&gt;"",Q112&lt;&gt;"")),1,"")</f>
        <v/>
      </c>
      <c r="U112" s="703"/>
      <c r="V112" s="589" t="str">
        <f>IF(AND(code3&lt;&gt;"",'I3'!$U$31&lt;&gt;""),'I3'!$U$31,"")</f>
        <v/>
      </c>
      <c r="W112" s="1"/>
      <c r="X112" s="892" t="str">
        <f t="shared" ref="X112" si="69">IF(V112=$AK112,1,"")</f>
        <v/>
      </c>
      <c r="Y112" s="895" t="str">
        <f>IF(OR(AND(p_cycle_dock=2,V112&gt;=$H112,$H112&lt;&gt;"",V112&lt;&gt;""),AND(p_cycle_dock=1,V112&gt;$H112,$H112&lt;&gt;"",V112&lt;&gt;"")),1,"")</f>
        <v/>
      </c>
      <c r="Z112" s="703"/>
      <c r="AA112" s="589" t="str">
        <f>IF(AND(code4&lt;&gt;"",'I3'!$X$31&lt;&gt;""),'I3'!$X$31,"")</f>
        <v/>
      </c>
      <c r="AB112" s="1"/>
      <c r="AC112" s="892" t="str">
        <f t="shared" ref="AC112" si="70">IF(AA112=$AK112,1,"")</f>
        <v/>
      </c>
      <c r="AD112" s="895" t="str">
        <f>IF(OR(AND(p_cycle_dock=2,AA112&gt;=$H112,$H112&lt;&gt;"",AA112&lt;&gt;""),AND(p_cycle_dock=1,AA112&gt;$H112,$H112&lt;&gt;"",AA112&lt;&gt;"")),1,"")</f>
        <v/>
      </c>
      <c r="AE112" s="703"/>
      <c r="AF112" s="589" t="str">
        <f>IF(AND(code5&lt;&gt;"",'I3'!$AC$31&lt;&gt;""),'I3'!$AC$31,"")</f>
        <v/>
      </c>
      <c r="AG112" s="1"/>
      <c r="AH112" s="890" t="str">
        <f t="shared" ref="AH112" si="71">IF(AF112=$AK112,1,"")</f>
        <v/>
      </c>
      <c r="AI112" s="894" t="str">
        <f>IF(OR(AND(p_cycle_dock=2,AF112&gt;=$H112,$H112&lt;&gt;"",AF112&lt;&gt;""),AND(p_cycle_dock=1,AF112&gt;$H112,$H112&lt;&gt;"",AF112&lt;&gt;"")),1,"")</f>
        <v/>
      </c>
      <c r="AJ112" s="702"/>
      <c r="AK112" s="900">
        <f>MIN($H112,$L112,$Q112,$V112,$AA112,$AF112)</f>
        <v>0</v>
      </c>
      <c r="AL112" s="31"/>
      <c r="AM112" s="29"/>
      <c r="AN112" s="29"/>
      <c r="AO112" s="29"/>
      <c r="AP112" s="29"/>
    </row>
    <row r="113" spans="2:42" ht="15" customHeight="1">
      <c r="B113" s="33"/>
      <c r="C113" s="49" t="s">
        <v>267</v>
      </c>
      <c r="D113" s="47"/>
      <c r="F113" s="748"/>
      <c r="G113" s="748"/>
      <c r="H113" s="423"/>
      <c r="I113" s="1"/>
      <c r="J113" s="709"/>
      <c r="K113" s="704"/>
      <c r="L113" s="423"/>
      <c r="M113" s="1"/>
      <c r="N113" s="709"/>
      <c r="O113" s="711"/>
      <c r="P113" s="704"/>
      <c r="Q113" s="423"/>
      <c r="R113" s="1"/>
      <c r="S113" s="709"/>
      <c r="T113" s="711"/>
      <c r="U113" s="704"/>
      <c r="V113" s="423"/>
      <c r="W113" s="1"/>
      <c r="X113" s="709"/>
      <c r="Y113" s="711"/>
      <c r="Z113" s="704"/>
      <c r="AA113" s="423"/>
      <c r="AB113" s="1"/>
      <c r="AC113" s="709"/>
      <c r="AD113" s="711"/>
      <c r="AE113" s="704"/>
      <c r="AF113" s="76"/>
      <c r="AG113" s="1"/>
      <c r="AH113" s="709"/>
      <c r="AI113" s="711"/>
      <c r="AJ113" s="704"/>
      <c r="AK113" s="704"/>
      <c r="AL113" s="31"/>
      <c r="AM113" s="29"/>
      <c r="AN113" s="29"/>
      <c r="AO113" s="29"/>
      <c r="AP113" s="29"/>
    </row>
    <row r="114" spans="2:42" ht="15" customHeight="1">
      <c r="B114" s="33"/>
      <c r="C114" s="29"/>
      <c r="D114" s="47" t="s">
        <v>258</v>
      </c>
      <c r="F114" s="182" t="s">
        <v>432</v>
      </c>
      <c r="G114" s="182"/>
      <c r="H114" s="588" t="str">
        <f>IF(code0="","",'I1'!F70)</f>
        <v/>
      </c>
      <c r="I114" s="1"/>
      <c r="J114" s="890" t="str">
        <f t="shared" ref="J114:J116" si="72">IF(AND(H114&gt;0,H114=$AK114),1,"")</f>
        <v/>
      </c>
      <c r="K114" s="702"/>
      <c r="L114" s="587" t="str">
        <f>IF(code1="","",'I1'!H70)</f>
        <v/>
      </c>
      <c r="M114" s="1"/>
      <c r="N114" s="890" t="str">
        <f t="shared" ref="N114:N116" si="73">IF(AND(L114&gt;0,L114=$AK114),1,"")</f>
        <v/>
      </c>
      <c r="O114" s="894" t="str">
        <f>IF(OR(AND(p_cycle_dockless=2,L114&lt;=$H114,$H114&lt;&gt;"",L114&lt;&gt;""),AND(p_cycle_dockless=1,L114&lt;$H114,$H114&lt;&gt;"",L114&lt;&gt;"")),1,"")</f>
        <v/>
      </c>
      <c r="P114" s="702"/>
      <c r="Q114" s="587" t="str">
        <f>IF(code2="","",'I1'!J70)</f>
        <v/>
      </c>
      <c r="R114" s="1"/>
      <c r="S114" s="890" t="str">
        <f t="shared" ref="S114:S116" si="74">IF(AND(Q114&gt;0,Q114=$AK114),1,"")</f>
        <v/>
      </c>
      <c r="T114" s="894" t="str">
        <f>IF(OR(AND(p_cycle_dockless=2,Q114&lt;=$H114,$H114&lt;&gt;"",Q114&lt;&gt;""),AND(p_cycle_dockless=1,Q114&lt;$H114,$H114&lt;&gt;"",Q114&lt;&gt;"")),1,"")</f>
        <v/>
      </c>
      <c r="U114" s="702"/>
      <c r="V114" s="587" t="str">
        <f>IF(code3="","",'I1'!L70)</f>
        <v/>
      </c>
      <c r="W114" s="1"/>
      <c r="X114" s="890" t="str">
        <f t="shared" ref="X114:X116" si="75">IF(AND(V114&gt;0,V114=$AK114),1,"")</f>
        <v/>
      </c>
      <c r="Y114" s="894" t="str">
        <f>IF(OR(AND(p_cycle_dockless=2,V114&lt;=$H114,$H114&lt;&gt;"",V114&lt;&gt;""),AND(p_cycle_dockless=1,V114&lt;$H114,$H114&lt;&gt;"",V114&lt;&gt;"")),1,"")</f>
        <v/>
      </c>
      <c r="Z114" s="702"/>
      <c r="AA114" s="587" t="str">
        <f>IF(code4="","",'I1'!N70)</f>
        <v/>
      </c>
      <c r="AB114" s="1"/>
      <c r="AC114" s="890" t="str">
        <f t="shared" ref="AC114:AC116" si="76">IF(AND(AA114&gt;0,AA114=$AK114),1,"")</f>
        <v/>
      </c>
      <c r="AD114" s="894" t="str">
        <f>IF(OR(AND(p_cycle_dockless=2,AA114&lt;=$H114,$H114&lt;&gt;"",AA114&lt;&gt;""),AND(p_cycle_dockless=1,AA114&lt;$H114,$H114&lt;&gt;"",AA114&lt;&gt;"")),1,"")</f>
        <v/>
      </c>
      <c r="AE114" s="702"/>
      <c r="AF114" s="587" t="str">
        <f>IF(code5="","",'I1'!P70)</f>
        <v/>
      </c>
      <c r="AG114" s="1"/>
      <c r="AH114" s="890" t="str">
        <f t="shared" ref="AH114:AH116" si="77">IF(AND(AF114&gt;0,AF114=$AK114),1,"")</f>
        <v/>
      </c>
      <c r="AI114" s="894" t="str">
        <f>IF(OR(AND(p_cycle_dockless=2,AF114&lt;=$H114,$H114&lt;&gt;"",AF114&lt;&gt;""),AND(p_cycle_dockless=1,AF114&lt;$H114,$H114&lt;&gt;"",AF114&lt;&gt;"")),1,"")</f>
        <v/>
      </c>
      <c r="AJ114" s="702"/>
      <c r="AK114" s="900">
        <f>MAX($H114,$L114,$Q114,$V114,$AA114,$AF114)</f>
        <v>0</v>
      </c>
      <c r="AL114" s="31"/>
      <c r="AM114" s="29"/>
      <c r="AN114" s="29"/>
      <c r="AO114" s="29"/>
      <c r="AP114" s="29"/>
    </row>
    <row r="115" spans="2:42" ht="15" customHeight="1">
      <c r="B115" s="33"/>
      <c r="C115" s="29"/>
      <c r="D115" s="47" t="s">
        <v>110</v>
      </c>
      <c r="F115" s="190" t="str">
        <f>F$105</f>
        <v/>
      </c>
      <c r="G115" s="190"/>
      <c r="H115" s="588" t="str">
        <f>IF(AND(code0&lt;&gt;"",'I3'!$G$32&lt;&gt;""),'I3'!$G$32,"")</f>
        <v/>
      </c>
      <c r="I115" s="1"/>
      <c r="J115" s="890" t="str">
        <f t="shared" si="72"/>
        <v/>
      </c>
      <c r="K115" s="706"/>
      <c r="L115" s="587" t="str">
        <f>IF(AND(code1&lt;&gt;"",'I3'!$K$32&lt;&gt;""),'I3'!$K$32,"")</f>
        <v/>
      </c>
      <c r="M115" s="1"/>
      <c r="N115" s="890" t="str">
        <f t="shared" si="73"/>
        <v/>
      </c>
      <c r="O115" s="890" t="str">
        <f>IF(OR(AND(p_cycle_dockless=2,L115&lt;=$H115,$H115&lt;&gt;"",L115&lt;&gt;""),AND(p_cycle_dockless=1,L115&lt;$H115,$H115&lt;&gt;"",L115&lt;&gt;"")),1,"")</f>
        <v/>
      </c>
      <c r="P115" s="706"/>
      <c r="Q115" s="587" t="str">
        <f>IF(AND(code2&lt;&gt;"",'I3'!$O$32&lt;&gt;""),'I3'!$O$32,"")</f>
        <v/>
      </c>
      <c r="R115" s="1"/>
      <c r="S115" s="890" t="str">
        <f t="shared" si="74"/>
        <v/>
      </c>
      <c r="T115" s="890" t="str">
        <f>IF(OR(AND(p_cycle_dockless=2,Q115&lt;=$H115,$H115&lt;&gt;"",Q115&lt;&gt;""),AND(p_cycle_dockless=1,Q115&lt;$H115,$H115&lt;&gt;"",Q115&lt;&gt;"")),1,"")</f>
        <v/>
      </c>
      <c r="U115" s="706"/>
      <c r="V115" s="587" t="str">
        <f>IF(AND(code3&lt;&gt;"",'I3'!$S$32&lt;&gt;""),'I3'!$S$32,"")</f>
        <v/>
      </c>
      <c r="W115" s="1"/>
      <c r="X115" s="890" t="str">
        <f t="shared" si="75"/>
        <v/>
      </c>
      <c r="Y115" s="890" t="str">
        <f>IF(OR(AND(p_cycle_dockless=2,V115&lt;=$H115,$H115&lt;&gt;"",V115&lt;&gt;""),AND(p_cycle_dockless=1,V115&lt;$H115,$H115&lt;&gt;"",V115&lt;&gt;"")),1,"")</f>
        <v/>
      </c>
      <c r="Z115" s="706"/>
      <c r="AA115" s="587" t="str">
        <f>IF(AND(code4&lt;&gt;"",'I3'!$V$32&lt;&gt;""),'I3'!$V$32,"")</f>
        <v/>
      </c>
      <c r="AB115" s="1"/>
      <c r="AC115" s="890" t="str">
        <f t="shared" si="76"/>
        <v/>
      </c>
      <c r="AD115" s="890" t="str">
        <f>IF(OR(AND(p_cycle_dockless=2,AA115&lt;=$H115,$H115&lt;&gt;"",AA115&lt;&gt;""),AND(p_cycle_dockless=1,AA115&lt;$H115,$H115&lt;&gt;"",AA115&lt;&gt;"")),1,"")</f>
        <v/>
      </c>
      <c r="AE115" s="706"/>
      <c r="AF115" s="587" t="str">
        <f>IF(AND(code5&lt;&gt;"",'I3'!$AA$32&lt;&gt;""),'I3'!$AA$32,"")</f>
        <v/>
      </c>
      <c r="AG115" s="1"/>
      <c r="AH115" s="890" t="str">
        <f t="shared" si="77"/>
        <v/>
      </c>
      <c r="AI115" s="890" t="str">
        <f>IF(OR(AND(p_cycle_dockless=2,AF115&lt;=$H115,$H115&lt;&gt;"",AF115&lt;&gt;""),AND(p_cycle_dockless=1,AF115&lt;$H115,$H115&lt;&gt;"",AF115&lt;&gt;"")),1,"")</f>
        <v/>
      </c>
      <c r="AJ115" s="706"/>
      <c r="AK115" s="900">
        <f>MAX($H115,$L115,$Q115,$V115,$AA115,$AF115)</f>
        <v>0</v>
      </c>
      <c r="AL115" s="31"/>
      <c r="AM115" s="29"/>
      <c r="AN115" s="29"/>
      <c r="AO115" s="29"/>
      <c r="AP115" s="29"/>
    </row>
    <row r="116" spans="2:42" ht="15" customHeight="1">
      <c r="B116" s="33"/>
      <c r="C116" s="29"/>
      <c r="D116" s="47" t="s">
        <v>36</v>
      </c>
      <c r="F116" s="190" t="str">
        <f>F$106</f>
        <v/>
      </c>
      <c r="G116" s="190"/>
      <c r="H116" s="587" t="str">
        <f>IF(AND(code0&lt;&gt;"",'I3'!$H$32&lt;&gt;""),'I3'!$H$32,"")</f>
        <v/>
      </c>
      <c r="I116" s="1"/>
      <c r="J116" s="890" t="str">
        <f t="shared" si="72"/>
        <v/>
      </c>
      <c r="K116" s="702"/>
      <c r="L116" s="587" t="str">
        <f>IF(AND(code1&lt;&gt;"",'I3'!$L$32&lt;&gt;""),'I3'!$L$32,"")</f>
        <v/>
      </c>
      <c r="M116" s="1"/>
      <c r="N116" s="890" t="str">
        <f t="shared" si="73"/>
        <v/>
      </c>
      <c r="O116" s="894" t="str">
        <f>IF(OR(AND(p_cycle_dockless=2,L116&lt;=$H116,$H116&lt;&gt;"",L116&lt;&gt;""),AND(p_cycle_dockless=1,L116&lt;$H116,$H116&lt;&gt;"",L116&lt;&gt;"")),1,"")</f>
        <v/>
      </c>
      <c r="P116" s="702"/>
      <c r="Q116" s="587" t="str">
        <f>IF(AND(code2&lt;&gt;"",'I3'!$P$32&lt;&gt;""),'I3'!$P$32,"")</f>
        <v/>
      </c>
      <c r="R116" s="1"/>
      <c r="S116" s="890" t="str">
        <f t="shared" si="74"/>
        <v/>
      </c>
      <c r="T116" s="894" t="str">
        <f>IF(OR(AND(p_cycle_dockless=2,Q116&lt;=$H116,$H116&lt;&gt;"",Q116&lt;&gt;""),AND(p_cycle_dockless=1,Q116&lt;$H116,$H116&lt;&gt;"",Q116&lt;&gt;"")),1,"")</f>
        <v/>
      </c>
      <c r="U116" s="702"/>
      <c r="V116" s="587" t="str">
        <f>IF(AND(code3&lt;&gt;"",'I3'!$T$32&lt;&gt;""),'I3'!$T$32,"")</f>
        <v/>
      </c>
      <c r="W116" s="1"/>
      <c r="X116" s="890" t="str">
        <f t="shared" si="75"/>
        <v/>
      </c>
      <c r="Y116" s="894" t="str">
        <f>IF(OR(AND(p_cycle_dockless=2,V116&lt;=$H116,$H116&lt;&gt;"",V116&lt;&gt;""),AND(p_cycle_dockless=1,V116&lt;$H116,$H116&lt;&gt;"",V116&lt;&gt;"")),1,"")</f>
        <v/>
      </c>
      <c r="Z116" s="702"/>
      <c r="AA116" s="587" t="str">
        <f>IF(AND(code4&lt;&gt;"",'I3'!$W$32&lt;&gt;""),'I3'!$W$32,"")</f>
        <v/>
      </c>
      <c r="AB116" s="1"/>
      <c r="AC116" s="890" t="str">
        <f t="shared" si="76"/>
        <v/>
      </c>
      <c r="AD116" s="894" t="str">
        <f>IF(OR(AND(p_cycle_dockless=2,AA116&lt;=$H116,$H116&lt;&gt;"",AA116&lt;&gt;""),AND(p_cycle_dockless=1,AA116&lt;$H116,$H116&lt;&gt;"",AA116&lt;&gt;"")),1,"")</f>
        <v/>
      </c>
      <c r="AE116" s="702"/>
      <c r="AF116" s="587" t="str">
        <f>IF(AND(code5&lt;&gt;"",'I3'!$AB$32&lt;&gt;""),'I3'!$AB$32,"")</f>
        <v/>
      </c>
      <c r="AG116" s="1"/>
      <c r="AH116" s="890" t="str">
        <f t="shared" si="77"/>
        <v/>
      </c>
      <c r="AI116" s="894" t="str">
        <f>IF(OR(AND(p_cycle_dockless=2,AF116&lt;=$H116,$H116&lt;&gt;"",AF116&lt;&gt;""),AND(p_cycle_dockless=1,AF116&lt;$H116,$H116&lt;&gt;"",AF116&lt;&gt;"")),1,"")</f>
        <v/>
      </c>
      <c r="AJ116" s="702"/>
      <c r="AK116" s="900">
        <f>MAX($H116,$L116,$Q116,$V116,$AA116,$AF116)</f>
        <v>0</v>
      </c>
      <c r="AL116" s="31"/>
      <c r="AM116" s="29"/>
      <c r="AN116" s="29"/>
      <c r="AO116" s="29"/>
      <c r="AP116" s="29"/>
    </row>
    <row r="117" spans="2:42" ht="15" customHeight="1">
      <c r="B117" s="33"/>
      <c r="C117" s="59"/>
      <c r="D117" s="85" t="s">
        <v>17</v>
      </c>
      <c r="E117" s="59"/>
      <c r="F117" s="294" t="str">
        <f>F$107</f>
        <v/>
      </c>
      <c r="G117" s="190"/>
      <c r="H117" s="590" t="str">
        <f>IF(AND(code0&lt;&gt;"",'I3'!$I$32&lt;&gt;""),'I3'!$I$32,"")</f>
        <v/>
      </c>
      <c r="I117" s="1"/>
      <c r="J117" s="892" t="str">
        <f t="shared" ref="J117" si="78">IF(H117=$AK117,1,"")</f>
        <v/>
      </c>
      <c r="K117" s="703"/>
      <c r="L117" s="589" t="str">
        <f>IF(AND(code1&lt;&gt;"",'I3'!$M$32&lt;&gt;""),'I3'!$M$32,"")</f>
        <v/>
      </c>
      <c r="M117" s="1"/>
      <c r="N117" s="892" t="str">
        <f t="shared" ref="N117" si="79">IF(L117=$AK117,1,"")</f>
        <v/>
      </c>
      <c r="O117" s="895" t="str">
        <f>IF(OR(AND(p_cycle_dockless=2,L117&gt;=$H117,$H117&lt;&gt;"",L117&lt;&gt;""),AND(p_cycle_dockless=1,L117&gt;$H117,$H117&lt;&gt;"",L117&lt;&gt;"")),1,"")</f>
        <v/>
      </c>
      <c r="P117" s="703"/>
      <c r="Q117" s="589" t="str">
        <f>IF(AND(code2&lt;&gt;"",'I3'!$Q$32&lt;&gt;""),'I3'!$Q$32,"")</f>
        <v/>
      </c>
      <c r="R117" s="1"/>
      <c r="S117" s="892" t="str">
        <f t="shared" ref="S117" si="80">IF(Q117=$AK117,1,"")</f>
        <v/>
      </c>
      <c r="T117" s="895" t="str">
        <f>IF(OR(AND(p_cycle_dockless=2,Q117&gt;=$H117,$H117&lt;&gt;"",Q117&lt;&gt;""),AND(p_cycle_dockless=1,Q117&gt;$H117,$H117&lt;&gt;"",Q117&lt;&gt;"")),1,"")</f>
        <v/>
      </c>
      <c r="U117" s="703"/>
      <c r="V117" s="589" t="str">
        <f>IF(AND(code3&lt;&gt;"",'I3'!$U$32&lt;&gt;""),'I3'!$U$32,"")</f>
        <v/>
      </c>
      <c r="W117" s="1"/>
      <c r="X117" s="892" t="str">
        <f t="shared" ref="X117" si="81">IF(V117=$AK117,1,"")</f>
        <v/>
      </c>
      <c r="Y117" s="895" t="str">
        <f>IF(OR(AND(p_cycle_dockless=2,V117&gt;=$H117,$H117&lt;&gt;"",V117&lt;&gt;""),AND(p_cycle_dockless=1,V117&gt;$H117,$H117&lt;&gt;"",V117&lt;&gt;"")),1,"")</f>
        <v/>
      </c>
      <c r="Z117" s="703"/>
      <c r="AA117" s="589" t="str">
        <f>IF(AND(code4&lt;&gt;"",'I3'!$X$32&lt;&gt;""),'I3'!$X$32,"")</f>
        <v/>
      </c>
      <c r="AB117" s="1"/>
      <c r="AC117" s="892" t="str">
        <f t="shared" ref="AC117" si="82">IF(AA117=$AK117,1,"")</f>
        <v/>
      </c>
      <c r="AD117" s="895" t="str">
        <f>IF(OR(AND(p_cycle_dockless=2,AA117&gt;=$H117,$H117&lt;&gt;"",AA117&lt;&gt;""),AND(p_cycle_dockless=1,AA117&gt;$H117,$H117&lt;&gt;"",AA117&lt;&gt;"")),1,"")</f>
        <v/>
      </c>
      <c r="AE117" s="703"/>
      <c r="AF117" s="589" t="str">
        <f>IF(AND(code5&lt;&gt;"",'I3'!$AC$32&lt;&gt;""),'I3'!$AC$32,"")</f>
        <v/>
      </c>
      <c r="AG117" s="1"/>
      <c r="AH117" s="890" t="str">
        <f t="shared" ref="AH117" si="83">IF(AF117=$AK117,1,"")</f>
        <v/>
      </c>
      <c r="AI117" s="894" t="str">
        <f>IF(OR(AND(p_cycle_dockless=2,AF117&gt;=$H117,$H117&lt;&gt;"",AF117&lt;&gt;""),AND(p_cycle_dockless=1,AF117&gt;$H117,$H117&lt;&gt;"",AF117&lt;&gt;"")),1,"")</f>
        <v/>
      </c>
      <c r="AJ117" s="702"/>
      <c r="AK117" s="900">
        <f>MIN($H117,$L117,$Q117,$V117,$AA117,$AF117)</f>
        <v>0</v>
      </c>
      <c r="AL117" s="31"/>
      <c r="AM117" s="29"/>
      <c r="AN117" s="29"/>
      <c r="AO117" s="29"/>
      <c r="AP117" s="29"/>
    </row>
    <row r="118" spans="2:42" ht="15" customHeight="1">
      <c r="B118" s="33"/>
      <c r="C118" s="49" t="s">
        <v>250</v>
      </c>
      <c r="D118" s="47"/>
      <c r="F118" s="748"/>
      <c r="G118" s="748"/>
      <c r="H118" s="421"/>
      <c r="I118" s="1"/>
      <c r="J118" s="709"/>
      <c r="K118" s="704"/>
      <c r="L118" s="421"/>
      <c r="M118" s="1"/>
      <c r="N118" s="709"/>
      <c r="O118" s="711"/>
      <c r="P118" s="704"/>
      <c r="Q118" s="421"/>
      <c r="R118" s="1"/>
      <c r="S118" s="709"/>
      <c r="T118" s="711"/>
      <c r="U118" s="704"/>
      <c r="V118" s="421"/>
      <c r="W118" s="1"/>
      <c r="X118" s="709"/>
      <c r="Y118" s="711"/>
      <c r="Z118" s="704"/>
      <c r="AA118" s="421"/>
      <c r="AB118" s="1"/>
      <c r="AC118" s="709"/>
      <c r="AD118" s="711"/>
      <c r="AE118" s="704"/>
      <c r="AF118" s="748"/>
      <c r="AG118" s="1"/>
      <c r="AH118" s="709"/>
      <c r="AI118" s="711"/>
      <c r="AJ118" s="704"/>
      <c r="AK118" s="704"/>
      <c r="AL118" s="31"/>
      <c r="AM118" s="29"/>
      <c r="AN118" s="29"/>
      <c r="AO118" s="29"/>
      <c r="AP118" s="29"/>
    </row>
    <row r="119" spans="2:42" ht="15" customHeight="1">
      <c r="B119" s="33"/>
      <c r="C119" s="29"/>
      <c r="D119" s="47" t="s">
        <v>258</v>
      </c>
      <c r="F119" s="182" t="s">
        <v>293</v>
      </c>
      <c r="G119" s="182"/>
      <c r="H119" s="587" t="str">
        <f>IF(code0="","",'I1'!F51)</f>
        <v/>
      </c>
      <c r="I119" s="1"/>
      <c r="J119" s="890" t="str">
        <f t="shared" ref="J119:J121" si="84">IF(AND(H119&gt;0,H119=$AK119),1,"")</f>
        <v/>
      </c>
      <c r="K119" s="891" t="str">
        <f>IF(AND(H119&gt;0,H119&lt;standard_carparkstop),1,"")</f>
        <v/>
      </c>
      <c r="L119" s="587" t="str">
        <f>IF(code1="","",'I1'!H51)</f>
        <v/>
      </c>
      <c r="M119" s="1"/>
      <c r="N119" s="890" t="str">
        <f t="shared" ref="N119:N121" si="85">IF(AND(L119&gt;0,L119=$AK119),1,"")</f>
        <v/>
      </c>
      <c r="O119" s="894" t="str">
        <f>IF(AND($H119&lt;&gt;"",L119&lt;&gt;"",OR(AND(p_car_park=2,L119&lt;=$H119),AND(p_car_park=1,L119&lt;$H119),AND(p_parkload=TRUE,L119&lt;=$H119))),1,"")</f>
        <v/>
      </c>
      <c r="P119" s="891" t="str">
        <f>IF(AND(L119&gt;0,L119&lt;standard_carparkstop),1,"")</f>
        <v/>
      </c>
      <c r="Q119" s="587" t="str">
        <f>IF(code2="","",'I1'!J51)</f>
        <v/>
      </c>
      <c r="R119" s="1"/>
      <c r="S119" s="890" t="str">
        <f t="shared" ref="S119:S121" si="86">IF(AND(Q119&gt;0,Q119=$AK119),1,"")</f>
        <v/>
      </c>
      <c r="T119" s="894" t="str">
        <f>IF(AND($H119&lt;&gt;"",Q119&lt;&gt;"",OR(AND(p_car_park=2,Q119&lt;=$H119),AND(p_car_park=1,Q119&lt;$H119),AND(p_parkload=TRUE,Q119&lt;=$H119))),1,"")</f>
        <v/>
      </c>
      <c r="U119" s="891" t="str">
        <f>IF(AND(Q119&gt;0,Q119&lt;standard_carparkstop),1,"")</f>
        <v/>
      </c>
      <c r="V119" s="587" t="str">
        <f>IF(code3="","",'I1'!L51)</f>
        <v/>
      </c>
      <c r="W119" s="1"/>
      <c r="X119" s="890" t="str">
        <f t="shared" ref="X119:X121" si="87">IF(AND(V119&gt;0,V119=$AK119),1,"")</f>
        <v/>
      </c>
      <c r="Y119" s="894" t="str">
        <f>IF(AND($H119&lt;&gt;"",V119&lt;&gt;"",OR(AND(p_car_park=2,V119&lt;=$H119),AND(p_car_park=1,V119&lt;$H119),AND(p_parkload=TRUE,V119&lt;=$H119))),1,"")</f>
        <v/>
      </c>
      <c r="Z119" s="891" t="str">
        <f>IF(AND(V119&gt;0,V119&lt;standard_carparkstop),1,"")</f>
        <v/>
      </c>
      <c r="AA119" s="587" t="str">
        <f>IF(code4="","",'I1'!N51)</f>
        <v/>
      </c>
      <c r="AB119" s="1"/>
      <c r="AC119" s="890" t="str">
        <f t="shared" ref="AC119:AC121" si="88">IF(AND(AA119&gt;0,AA119=$AK119),1,"")</f>
        <v/>
      </c>
      <c r="AD119" s="894" t="str">
        <f>IF(AND($H119&lt;&gt;"",AA119&lt;&gt;"",OR(AND(p_car_park=2,AA119&lt;=$H119),AND(p_car_park=1,AA119&lt;$H119),AND(p_parkload=TRUE,AA119&lt;=$H119))),1,"")</f>
        <v/>
      </c>
      <c r="AE119" s="891" t="str">
        <f>IF(AND(AA119&gt;0,AA119&lt;standard_carparkstop),1,"")</f>
        <v/>
      </c>
      <c r="AF119" s="587" t="str">
        <f>IF(code5="","",'I1'!P51)</f>
        <v/>
      </c>
      <c r="AG119" s="1"/>
      <c r="AH119" s="890" t="str">
        <f t="shared" ref="AH119:AH121" si="89">IF(AND(AF119&gt;0,AF119=$AK119),1,"")</f>
        <v/>
      </c>
      <c r="AI119" s="894" t="str">
        <f>IF(AND($H119&lt;&gt;"",AF119&lt;&gt;"",OR(AND(p_car_park=2,AF119&lt;=$H119),AND(p_car_park=1,AF119&lt;$H119),AND(p_parkload=TRUE,AF119&lt;=$H119))),1,"")</f>
        <v/>
      </c>
      <c r="AJ119" s="891" t="str">
        <f>IF(AND(AF119&gt;0,AF119&lt;standard_carparkstop),1,"")</f>
        <v/>
      </c>
      <c r="AK119" s="900">
        <f>MAX($H119,$L119,$Q119,$V119,$AA119,$AF119)</f>
        <v>0</v>
      </c>
      <c r="AL119" s="31"/>
      <c r="AM119" s="29"/>
      <c r="AN119" s="29"/>
      <c r="AO119" s="29"/>
      <c r="AP119" s="29"/>
    </row>
    <row r="120" spans="2:42" ht="15" customHeight="1">
      <c r="B120" s="33"/>
      <c r="C120" s="29"/>
      <c r="D120" s="47" t="s">
        <v>110</v>
      </c>
      <c r="F120" s="190" t="str">
        <f>F$105</f>
        <v/>
      </c>
      <c r="G120" s="190"/>
      <c r="H120" s="588" t="str">
        <f>IF(AND(code0&lt;&gt;"",'I3'!$G$33&lt;&gt;""),'I3'!$G$33,"")</f>
        <v/>
      </c>
      <c r="I120" s="1"/>
      <c r="J120" s="890" t="str">
        <f t="shared" si="84"/>
        <v/>
      </c>
      <c r="K120" s="706"/>
      <c r="L120" s="587" t="str">
        <f>IF(AND(code1&lt;&gt;"",'I3'!$K$33&lt;&gt;""),'I3'!$K$33,"")</f>
        <v/>
      </c>
      <c r="M120" s="1"/>
      <c r="N120" s="890" t="str">
        <f t="shared" si="85"/>
        <v/>
      </c>
      <c r="O120" s="890" t="str">
        <f>IF(OR(AND(p_car_park=2,L120&lt;=$H120,$H120&lt;&gt;"",L120&lt;&gt;""),AND(p_car_park=1,L120&lt;$H120,$H120&lt;&gt;"",L120&lt;&gt;"")),1,"")</f>
        <v/>
      </c>
      <c r="P120" s="706"/>
      <c r="Q120" s="587" t="str">
        <f>IF(AND(code2&lt;&gt;"",'I3'!$O$33&lt;&gt;""),'I3'!$O$33,"")</f>
        <v/>
      </c>
      <c r="R120" s="1"/>
      <c r="S120" s="890" t="str">
        <f t="shared" si="86"/>
        <v/>
      </c>
      <c r="T120" s="890" t="str">
        <f>IF(OR(AND(p_car_park=2,Q120&lt;=$H120,$H120&lt;&gt;"",Q120&lt;&gt;""),AND(p_car_park=1,Q120&lt;$H120,$H120&lt;&gt;"",Q120&lt;&gt;"")),1,"")</f>
        <v/>
      </c>
      <c r="U120" s="706"/>
      <c r="V120" s="587" t="str">
        <f>IF(AND(code3&lt;&gt;"",'I3'!$S$33&lt;&gt;""),'I3'!$S$33,"")</f>
        <v/>
      </c>
      <c r="W120" s="1"/>
      <c r="X120" s="890" t="str">
        <f t="shared" si="87"/>
        <v/>
      </c>
      <c r="Y120" s="890" t="str">
        <f>IF(OR(AND(p_car_park=2,V120&lt;=$H120,$H120&lt;&gt;"",V120&lt;&gt;""),AND(p_car_park=1,V120&lt;$H120,$H120&lt;&gt;"",V120&lt;&gt;"")),1,"")</f>
        <v/>
      </c>
      <c r="Z120" s="706"/>
      <c r="AA120" s="587" t="str">
        <f>IF(AND(code4&lt;&gt;"",'I3'!$V$33&lt;&gt;""),'I3'!$V$33,"")</f>
        <v/>
      </c>
      <c r="AB120" s="1"/>
      <c r="AC120" s="890" t="str">
        <f t="shared" si="88"/>
        <v/>
      </c>
      <c r="AD120" s="890" t="str">
        <f>IF(OR(AND(p_car_park=2,AA120&lt;=$H120,$H120&lt;&gt;"",AA120&lt;&gt;""),AND(p_car_park=1,AA120&lt;$H120,$H120&lt;&gt;"",AA120&lt;&gt;"")),1,"")</f>
        <v/>
      </c>
      <c r="AE120" s="706"/>
      <c r="AF120" s="587" t="str">
        <f>IF(AND(code5&lt;&gt;"",'I3'!$AA$33&lt;&gt;""),'I3'!$AA$33,"")</f>
        <v/>
      </c>
      <c r="AG120" s="1"/>
      <c r="AH120" s="890" t="str">
        <f t="shared" si="89"/>
        <v/>
      </c>
      <c r="AI120" s="890" t="str">
        <f>IF(OR(AND(p_car_park=2,AF120&lt;=$H120,$H120&lt;&gt;"",AF120&lt;&gt;""),AND(p_car_park=1,AF120&lt;$H120,$H120&lt;&gt;"",AF120&lt;&gt;"")),1,"")</f>
        <v/>
      </c>
      <c r="AJ120" s="706"/>
      <c r="AK120" s="900">
        <f>MAX($H120,$L120,$Q120,$V120,$AA120,$AF120)</f>
        <v>0</v>
      </c>
      <c r="AL120" s="31"/>
      <c r="AM120" s="29"/>
      <c r="AN120" s="29"/>
      <c r="AO120" s="29"/>
      <c r="AP120" s="29"/>
    </row>
    <row r="121" spans="2:42" ht="15" customHeight="1">
      <c r="B121" s="33"/>
      <c r="C121" s="29"/>
      <c r="D121" s="47" t="s">
        <v>36</v>
      </c>
      <c r="F121" s="190" t="str">
        <f>F$106</f>
        <v/>
      </c>
      <c r="G121" s="190"/>
      <c r="H121" s="587" t="str">
        <f>IF(AND(code0&lt;&gt;"",'I3'!$H$33&lt;&gt;""),'I3'!$H$33,"")</f>
        <v/>
      </c>
      <c r="I121" s="1"/>
      <c r="J121" s="890" t="str">
        <f t="shared" si="84"/>
        <v/>
      </c>
      <c r="K121" s="702"/>
      <c r="L121" s="587" t="str">
        <f>IF(AND(code1&lt;&gt;"",'I3'!$L$33&lt;&gt;""),'I3'!$L$33,"")</f>
        <v/>
      </c>
      <c r="M121" s="1"/>
      <c r="N121" s="890" t="str">
        <f t="shared" si="85"/>
        <v/>
      </c>
      <c r="O121" s="894" t="str">
        <f>IF(OR(AND(p_car_park=2,L121&lt;=$H121,$H121&lt;&gt;"",L121&lt;&gt;""),AND(p_car_park=1,L121&lt;$H121,$H121&lt;&gt;"",L121&lt;&gt;"")),1,"")</f>
        <v/>
      </c>
      <c r="P121" s="702"/>
      <c r="Q121" s="587" t="str">
        <f>IF(AND(code2&lt;&gt;"",'I3'!$P$33&lt;&gt;""),'I3'!$P$33,"")</f>
        <v/>
      </c>
      <c r="R121" s="1"/>
      <c r="S121" s="890" t="str">
        <f t="shared" si="86"/>
        <v/>
      </c>
      <c r="T121" s="894" t="str">
        <f>IF(OR(AND(p_car_park=2,Q121&lt;=$H121,$H121&lt;&gt;"",Q121&lt;&gt;""),AND(p_car_park=1,Q121&lt;$H121,$H121&lt;&gt;"",Q121&lt;&gt;"")),1,"")</f>
        <v/>
      </c>
      <c r="U121" s="702"/>
      <c r="V121" s="587" t="str">
        <f>IF(AND(code3&lt;&gt;"",'I3'!$T$33&lt;&gt;""),'I3'!$T$33,"")</f>
        <v/>
      </c>
      <c r="W121" s="1"/>
      <c r="X121" s="890" t="str">
        <f t="shared" si="87"/>
        <v/>
      </c>
      <c r="Y121" s="894" t="str">
        <f>IF(OR(AND(p_car_park=2,V121&lt;=$H121,$H121&lt;&gt;"",V121&lt;&gt;""),AND(p_car_park=1,V121&lt;$H121,$H121&lt;&gt;"",V121&lt;&gt;"")),1,"")</f>
        <v/>
      </c>
      <c r="Z121" s="702"/>
      <c r="AA121" s="587" t="str">
        <f>IF(AND(code4&lt;&gt;"",'I3'!$W$33&lt;&gt;""),'I3'!$W$33,"")</f>
        <v/>
      </c>
      <c r="AB121" s="1"/>
      <c r="AC121" s="890" t="str">
        <f t="shared" si="88"/>
        <v/>
      </c>
      <c r="AD121" s="894" t="str">
        <f>IF(OR(AND(p_car_park=2,AA121&lt;=$H121,$H121&lt;&gt;"",AA121&lt;&gt;""),AND(p_car_park=1,AA121&lt;$H121,$H121&lt;&gt;"",AA121&lt;&gt;"")),1,"")</f>
        <v/>
      </c>
      <c r="AE121" s="702"/>
      <c r="AF121" s="587" t="str">
        <f>IF(AND(code5&lt;&gt;"",'I3'!$AB$33&lt;&gt;""),'I3'!$AB$33,"")</f>
        <v/>
      </c>
      <c r="AG121" s="1"/>
      <c r="AH121" s="890" t="str">
        <f t="shared" si="89"/>
        <v/>
      </c>
      <c r="AI121" s="894" t="str">
        <f>IF(OR(AND(p_car_park=2,AF121&lt;=$H121,$H121&lt;&gt;"",AF121&lt;&gt;""),AND(p_car_park=1,AF121&lt;$H121,$H121&lt;&gt;"",AF121&lt;&gt;"")),1,"")</f>
        <v/>
      </c>
      <c r="AJ121" s="702"/>
      <c r="AK121" s="900">
        <f>MAX($H121,$L121,$Q121,$V121,$AA121,$AF121)</f>
        <v>0</v>
      </c>
      <c r="AL121" s="31"/>
      <c r="AM121" s="29"/>
      <c r="AN121" s="29"/>
      <c r="AO121" s="29"/>
      <c r="AP121" s="29"/>
    </row>
    <row r="122" spans="2:42" ht="15" customHeight="1">
      <c r="B122" s="33"/>
      <c r="C122" s="59"/>
      <c r="D122" s="85" t="s">
        <v>17</v>
      </c>
      <c r="E122" s="59"/>
      <c r="F122" s="294" t="str">
        <f>F$107</f>
        <v/>
      </c>
      <c r="G122" s="190"/>
      <c r="H122" s="590" t="str">
        <f>IF(AND(code0&lt;&gt;"",'I3'!$I$33&lt;&gt;""),'I3'!$I$33,"")</f>
        <v/>
      </c>
      <c r="I122" s="1"/>
      <c r="J122" s="892" t="str">
        <f t="shared" ref="J122" si="90">IF(H122=$AK122,1,"")</f>
        <v/>
      </c>
      <c r="K122" s="703"/>
      <c r="L122" s="589" t="str">
        <f>IF(AND(code1&lt;&gt;"",'I3'!$M$33&lt;&gt;""),'I3'!$M$33,"")</f>
        <v/>
      </c>
      <c r="M122" s="1"/>
      <c r="N122" s="892" t="str">
        <f t="shared" ref="N122" si="91">IF(L122=$AK122,1,"")</f>
        <v/>
      </c>
      <c r="O122" s="895" t="str">
        <f>IF(OR(AND(p_car_park=2,L122&gt;=$H122,$H122&lt;&gt;"",L122&lt;&gt;""),AND(p_car_park=1,L122&gt;$H122,$H122&lt;&gt;"",L122&lt;&gt;"")),1,"")</f>
        <v/>
      </c>
      <c r="P122" s="703"/>
      <c r="Q122" s="589" t="str">
        <f>IF(AND(code2&lt;&gt;"",'I3'!$Q$33&lt;&gt;""),'I3'!$Q$33,"")</f>
        <v/>
      </c>
      <c r="R122" s="1"/>
      <c r="S122" s="892" t="str">
        <f t="shared" ref="S122" si="92">IF(Q122=$AK122,1,"")</f>
        <v/>
      </c>
      <c r="T122" s="895" t="str">
        <f>IF(OR(AND(p_car_park=2,Q122&gt;=$H122,$H122&lt;&gt;"",Q122&lt;&gt;""),AND(p_car_park=1,Q122&gt;$H122,$H122&lt;&gt;"",Q122&lt;&gt;"")),1,"")</f>
        <v/>
      </c>
      <c r="U122" s="703"/>
      <c r="V122" s="589" t="str">
        <f>IF(AND(code3&lt;&gt;"",'I3'!$U$33&lt;&gt;""),'I3'!$U$33,"")</f>
        <v/>
      </c>
      <c r="W122" s="1"/>
      <c r="X122" s="892" t="str">
        <f t="shared" ref="X122" si="93">IF(V122=$AK122,1,"")</f>
        <v/>
      </c>
      <c r="Y122" s="895" t="str">
        <f>IF(OR(AND(p_car_park=2,V122&gt;=$H122,$H122&lt;&gt;"",V122&lt;&gt;""),AND(p_car_park=1,V122&gt;$H122,$H122&lt;&gt;"",V122&lt;&gt;"")),1,"")</f>
        <v/>
      </c>
      <c r="Z122" s="703"/>
      <c r="AA122" s="589" t="str">
        <f>IF(AND(code4&lt;&gt;"",'I3'!$X$33&lt;&gt;""),'I3'!$X$33,"")</f>
        <v/>
      </c>
      <c r="AB122" s="1"/>
      <c r="AC122" s="892" t="str">
        <f t="shared" ref="AC122" si="94">IF(AA122=$AK122,1,"")</f>
        <v/>
      </c>
      <c r="AD122" s="895" t="str">
        <f>IF(OR(AND(p_car_park=2,AA122&gt;=$H122,$H122&lt;&gt;"",AA122&lt;&gt;""),AND(p_car_park=1,AA122&gt;$H122,$H122&lt;&gt;"",AA122&lt;&gt;"")),1,"")</f>
        <v/>
      </c>
      <c r="AE122" s="703"/>
      <c r="AF122" s="589" t="str">
        <f>IF(AND(code5&lt;&gt;"",'I3'!$AC$33&lt;&gt;""),'I3'!$AC$33,"")</f>
        <v/>
      </c>
      <c r="AG122" s="1"/>
      <c r="AH122" s="890" t="str">
        <f t="shared" ref="AH122" si="95">IF(AF122=$AK122,1,"")</f>
        <v/>
      </c>
      <c r="AI122" s="894" t="str">
        <f>IF(OR(AND(p_car_park=2,AF122&gt;=$H122,$H122&lt;&gt;"",AF122&lt;&gt;""),AND(p_car_park=1,AF122&gt;$H122,$H122&lt;&gt;"",AF122&lt;&gt;"")),1,"")</f>
        <v/>
      </c>
      <c r="AJ122" s="702"/>
      <c r="AK122" s="900">
        <f>MIN($H122,$L122,$Q122,$V122,$AA122,$AF122)</f>
        <v>0</v>
      </c>
      <c r="AL122" s="31"/>
      <c r="AM122" s="29"/>
      <c r="AN122" s="29"/>
      <c r="AO122" s="29"/>
      <c r="AP122" s="29"/>
    </row>
    <row r="123" spans="2:42" ht="15" customHeight="1">
      <c r="B123" s="33"/>
      <c r="C123" s="49" t="s">
        <v>249</v>
      </c>
      <c r="D123" s="47"/>
      <c r="F123" s="748"/>
      <c r="G123" s="748"/>
      <c r="H123" s="421"/>
      <c r="I123" s="1"/>
      <c r="J123" s="709"/>
      <c r="K123" s="704"/>
      <c r="L123" s="421"/>
      <c r="M123" s="1"/>
      <c r="N123" s="709"/>
      <c r="O123" s="711"/>
      <c r="P123" s="704"/>
      <c r="Q123" s="421"/>
      <c r="R123" s="1"/>
      <c r="S123" s="709"/>
      <c r="T123" s="711"/>
      <c r="U123" s="704"/>
      <c r="V123" s="421"/>
      <c r="W123" s="1"/>
      <c r="X123" s="709"/>
      <c r="Y123" s="711"/>
      <c r="Z123" s="704"/>
      <c r="AA123" s="421"/>
      <c r="AB123" s="1"/>
      <c r="AC123" s="709"/>
      <c r="AD123" s="711"/>
      <c r="AE123" s="704"/>
      <c r="AF123" s="421"/>
      <c r="AG123" s="1"/>
      <c r="AH123" s="709"/>
      <c r="AI123" s="711"/>
      <c r="AJ123" s="704"/>
      <c r="AK123" s="704"/>
      <c r="AL123" s="31"/>
      <c r="AM123" s="29"/>
      <c r="AN123" s="29"/>
      <c r="AO123" s="29"/>
      <c r="AP123" s="29"/>
    </row>
    <row r="124" spans="2:42" ht="15" customHeight="1">
      <c r="B124" s="33"/>
      <c r="C124" s="29"/>
      <c r="D124" s="47" t="s">
        <v>258</v>
      </c>
      <c r="F124" s="182" t="s">
        <v>293</v>
      </c>
      <c r="G124" s="182"/>
      <c r="H124" s="587" t="str">
        <f>IF(code0="","",'I1'!F51)</f>
        <v/>
      </c>
      <c r="I124" s="1"/>
      <c r="J124" s="890" t="str">
        <f t="shared" ref="J124:J126" si="96">IF(AND(H124&gt;0,H124=$AK124),1,"")</f>
        <v/>
      </c>
      <c r="K124" s="891" t="str">
        <f>IF(AND(H124&gt;0,H124&lt;standard_carparkstop),1,"")</f>
        <v/>
      </c>
      <c r="L124" s="587" t="str">
        <f>IF(code1="","",'I1'!H51)</f>
        <v/>
      </c>
      <c r="M124" s="1"/>
      <c r="N124" s="890" t="str">
        <f t="shared" ref="N124:N126" si="97">IF(AND(L124&gt;0,L124=$AK124),1,"")</f>
        <v/>
      </c>
      <c r="O124" s="894" t="str">
        <f>IF(AND($H124&lt;&gt;"",L124&lt;&gt;"",OR(AND(p_car_stop=2,L124&lt;=$H124),AND(p_car_stop=1,L124&lt;$H124),AND(p_parkload=TRUE,L124&lt;=$H124))),1,"")</f>
        <v/>
      </c>
      <c r="P124" s="891" t="str">
        <f>IF(AND(L124&gt;0,L124&lt;standard_carparkstop),1,"")</f>
        <v/>
      </c>
      <c r="Q124" s="587" t="str">
        <f>IF(code2="","",'I1'!J51)</f>
        <v/>
      </c>
      <c r="R124" s="1"/>
      <c r="S124" s="890" t="str">
        <f t="shared" ref="S124:S126" si="98">IF(AND(Q124&gt;0,Q124=$AK124),1,"")</f>
        <v/>
      </c>
      <c r="T124" s="894" t="str">
        <f>IF(AND($H124&lt;&gt;"",Q124&lt;&gt;"",OR(AND(p_car_stop=2,Q124&lt;=$H124),AND(p_car_stop=1,Q124&lt;$H124),AND(p_parkload=TRUE,Q124&lt;=$H124))),1,"")</f>
        <v/>
      </c>
      <c r="U124" s="891" t="str">
        <f>IF(AND(Q124&gt;0,Q124&lt;standard_carparkstop),1,"")</f>
        <v/>
      </c>
      <c r="V124" s="587" t="str">
        <f>IF(code3="","",'I1'!L51)</f>
        <v/>
      </c>
      <c r="W124" s="1"/>
      <c r="X124" s="890" t="str">
        <f t="shared" ref="X124:X126" si="99">IF(AND(V124&gt;0,V124=$AK124),1,"")</f>
        <v/>
      </c>
      <c r="Y124" s="894" t="str">
        <f>IF(AND($H124&lt;&gt;"",V124&lt;&gt;"",OR(AND(p_car_stop=2,V124&lt;=$H124),AND(p_car_stop=1,V124&lt;$H124),AND(p_parkload=TRUE,V124&lt;=$H124))),1,"")</f>
        <v/>
      </c>
      <c r="Z124" s="891" t="str">
        <f>IF(AND(V124&gt;0,V124&lt;standard_carparkstop),1,"")</f>
        <v/>
      </c>
      <c r="AA124" s="587" t="str">
        <f>IF(code4="","",'I1'!N51)</f>
        <v/>
      </c>
      <c r="AB124" s="1"/>
      <c r="AC124" s="890" t="str">
        <f t="shared" ref="AC124:AC126" si="100">IF(AND(AA124&gt;0,AA124=$AK124),1,"")</f>
        <v/>
      </c>
      <c r="AD124" s="894" t="str">
        <f>IF(AND($H124&lt;&gt;"",AA124&lt;&gt;"",OR(AND(p_car_stop=2,AA124&lt;=$H124),AND(p_car_stop=1,AA124&lt;$H124),AND(p_parkload=TRUE,AA124&lt;=$H124))),1,"")</f>
        <v/>
      </c>
      <c r="AE124" s="891" t="str">
        <f>IF(AND(AA124&gt;0,AA124&lt;standard_carparkstop),1,"")</f>
        <v/>
      </c>
      <c r="AF124" s="587" t="str">
        <f>IF(code5="","",'I1'!P51)</f>
        <v/>
      </c>
      <c r="AG124" s="1"/>
      <c r="AH124" s="890" t="str">
        <f t="shared" ref="AH124:AH126" si="101">IF(AND(AF124&gt;0,AF124=$AK124),1,"")</f>
        <v/>
      </c>
      <c r="AI124" s="894" t="str">
        <f>IF(AND($H124&lt;&gt;"",AF124&lt;&gt;"",OR(AND(p_car_stop=2,AF124&lt;=$H124),AND(p_car_stop=1,AF124&lt;$H124),AND(p_parkload=TRUE,AF124&lt;=$H124))),1,"")</f>
        <v/>
      </c>
      <c r="AJ124" s="891" t="str">
        <f>IF(AND(AF124&gt;0,AF124&lt;standard_carparkstop),1,"")</f>
        <v/>
      </c>
      <c r="AK124" s="900">
        <f>MAX($H124,$L124,$Q124,$V124,$AA124,$AF124)</f>
        <v>0</v>
      </c>
      <c r="AL124" s="31"/>
      <c r="AM124" s="29"/>
      <c r="AN124" s="29"/>
      <c r="AO124" s="29"/>
      <c r="AP124" s="29"/>
    </row>
    <row r="125" spans="2:42" ht="15" customHeight="1">
      <c r="B125" s="33"/>
      <c r="C125" s="29"/>
      <c r="D125" s="47" t="s">
        <v>110</v>
      </c>
      <c r="F125" s="190" t="str">
        <f>F$105</f>
        <v/>
      </c>
      <c r="G125" s="190"/>
      <c r="H125" s="588" t="str">
        <f>IF(AND(code0&lt;&gt;"",'I3'!$G$34&lt;&gt;""),'I3'!$G$34,"")</f>
        <v/>
      </c>
      <c r="I125" s="1"/>
      <c r="J125" s="890" t="str">
        <f t="shared" si="96"/>
        <v/>
      </c>
      <c r="K125" s="706"/>
      <c r="L125" s="587" t="str">
        <f>IF(AND(code1&lt;&gt;"",'I3'!$K$34&lt;&gt;""),'I3'!$K$34,"")</f>
        <v/>
      </c>
      <c r="M125" s="1"/>
      <c r="N125" s="890" t="str">
        <f t="shared" si="97"/>
        <v/>
      </c>
      <c r="O125" s="890" t="str">
        <f>IF(OR(AND(p_car_stop=2,L125&lt;=$H125,$H125&lt;&gt;"",L125&lt;&gt;""),AND(p_car_stop=1,L125&lt;$H125,$H125&lt;&gt;"",L125&lt;&gt;"")),1,"")</f>
        <v/>
      </c>
      <c r="P125" s="706"/>
      <c r="Q125" s="587" t="str">
        <f>IF(AND(code2&lt;&gt;"",'I3'!$O$34&lt;&gt;""),'I3'!$O$34,"")</f>
        <v/>
      </c>
      <c r="R125" s="1"/>
      <c r="S125" s="890" t="str">
        <f t="shared" si="98"/>
        <v/>
      </c>
      <c r="T125" s="890" t="str">
        <f>IF(OR(AND(p_car_stop=2,Q125&lt;=$H125,$H125&lt;&gt;"",Q125&lt;&gt;""),AND(p_car_stop=1,Q125&lt;$H125,$H125&lt;&gt;"",Q125&lt;&gt;"")),1,"")</f>
        <v/>
      </c>
      <c r="U125" s="706"/>
      <c r="V125" s="587" t="str">
        <f>IF(AND(code3&lt;&gt;"",'I3'!$S$34&lt;&gt;""),'I3'!$S$34,"")</f>
        <v/>
      </c>
      <c r="W125" s="1"/>
      <c r="X125" s="890" t="str">
        <f t="shared" si="99"/>
        <v/>
      </c>
      <c r="Y125" s="890" t="str">
        <f>IF(OR(AND(p_car_stop=2,V125&lt;=$H125,$H125&lt;&gt;"",V125&lt;&gt;""),AND(p_car_stop=1,V125&lt;$H125,$H125&lt;&gt;"",V125&lt;&gt;"")),1,"")</f>
        <v/>
      </c>
      <c r="Z125" s="706"/>
      <c r="AA125" s="587" t="str">
        <f>IF(AND(code4&lt;&gt;"",'I3'!$V$34&lt;&gt;""),'I3'!$V$34,"")</f>
        <v/>
      </c>
      <c r="AB125" s="1"/>
      <c r="AC125" s="890" t="str">
        <f t="shared" si="100"/>
        <v/>
      </c>
      <c r="AD125" s="890" t="str">
        <f>IF(OR(AND(p_car_stop=2,AA125&lt;=$H125,$H125&lt;&gt;"",AA125&lt;&gt;""),AND(p_car_stop=1,AA125&lt;$H125,$H125&lt;&gt;"",AA125&lt;&gt;"")),1,"")</f>
        <v/>
      </c>
      <c r="AE125" s="706"/>
      <c r="AF125" s="587" t="str">
        <f>IF(AND(code5&lt;&gt;"",'I3'!$AA$34&lt;&gt;""),'I3'!$AA$34,"")</f>
        <v/>
      </c>
      <c r="AG125" s="1"/>
      <c r="AH125" s="890" t="str">
        <f t="shared" si="101"/>
        <v/>
      </c>
      <c r="AI125" s="890" t="str">
        <f>IF(OR(AND(p_car_stop=2,AF125&lt;=$H125,$H125&lt;&gt;"",AF125&lt;&gt;""),AND(p_car_stop=1,AF125&lt;$H125,$H125&lt;&gt;"",AF125&lt;&gt;"")),1,"")</f>
        <v/>
      </c>
      <c r="AJ125" s="706"/>
      <c r="AK125" s="900">
        <f>MAX($H125,$L125,$Q125,$V125,$AA125,$AF125)</f>
        <v>0</v>
      </c>
      <c r="AL125" s="31"/>
      <c r="AM125" s="29"/>
      <c r="AN125" s="29"/>
      <c r="AO125" s="29"/>
      <c r="AP125" s="29"/>
    </row>
    <row r="126" spans="2:42" ht="15" customHeight="1">
      <c r="B126" s="33"/>
      <c r="C126" s="29"/>
      <c r="D126" s="47" t="s">
        <v>36</v>
      </c>
      <c r="F126" s="190" t="str">
        <f>F$106</f>
        <v/>
      </c>
      <c r="G126" s="190"/>
      <c r="H126" s="587" t="str">
        <f>IF(AND(code0&lt;&gt;"",'I3'!$H$34&lt;&gt;""),'I3'!$H$34,"")</f>
        <v/>
      </c>
      <c r="I126" s="1"/>
      <c r="J126" s="890" t="str">
        <f t="shared" si="96"/>
        <v/>
      </c>
      <c r="K126" s="702"/>
      <c r="L126" s="587" t="str">
        <f>IF(AND(code1&lt;&gt;"",'I3'!$L$34&lt;&gt;""),'I3'!$L$34,"")</f>
        <v/>
      </c>
      <c r="M126" s="1"/>
      <c r="N126" s="890" t="str">
        <f t="shared" si="97"/>
        <v/>
      </c>
      <c r="O126" s="894" t="str">
        <f>IF(OR(AND(p_car_stop=2,L126&lt;=$H126,$H126&lt;&gt;"",L126&lt;&gt;""),AND(p_car_stop=1,L126&lt;$H126,$H126&lt;&gt;"",L126&lt;&gt;"")),1,"")</f>
        <v/>
      </c>
      <c r="P126" s="702"/>
      <c r="Q126" s="587" t="str">
        <f>IF(AND(code2&lt;&gt;"",'I3'!$P$34&lt;&gt;""),'I3'!$P$34,"")</f>
        <v/>
      </c>
      <c r="R126" s="1"/>
      <c r="S126" s="890" t="str">
        <f t="shared" si="98"/>
        <v/>
      </c>
      <c r="T126" s="894" t="str">
        <f>IF(OR(AND(p_car_stop=2,Q126&lt;=$H126,$H126&lt;&gt;"",Q126&lt;&gt;""),AND(p_car_stop=1,Q126&lt;$H126,$H126&lt;&gt;"",Q126&lt;&gt;"")),1,"")</f>
        <v/>
      </c>
      <c r="U126" s="702"/>
      <c r="V126" s="587" t="str">
        <f>IF(AND(code3&lt;&gt;"",'I3'!$T$34&lt;&gt;""),'I3'!$T$34,"")</f>
        <v/>
      </c>
      <c r="W126" s="1"/>
      <c r="X126" s="890" t="str">
        <f t="shared" si="99"/>
        <v/>
      </c>
      <c r="Y126" s="894" t="str">
        <f>IF(OR(AND(p_car_stop=2,V126&lt;=$H126,$H126&lt;&gt;"",V126&lt;&gt;""),AND(p_car_stop=1,V126&lt;$H126,$H126&lt;&gt;"",V126&lt;&gt;"")),1,"")</f>
        <v/>
      </c>
      <c r="Z126" s="702"/>
      <c r="AA126" s="587" t="str">
        <f>IF(AND(code4&lt;&gt;"",'I3'!$W$34&lt;&gt;""),'I3'!$W$34,"")</f>
        <v/>
      </c>
      <c r="AB126" s="1"/>
      <c r="AC126" s="890" t="str">
        <f t="shared" si="100"/>
        <v/>
      </c>
      <c r="AD126" s="894" t="str">
        <f>IF(OR(AND(p_car_stop=2,AA126&lt;=$H126,$H126&lt;&gt;"",AA126&lt;&gt;""),AND(p_car_stop=1,AA126&lt;$H126,$H126&lt;&gt;"",AA126&lt;&gt;"")),1,"")</f>
        <v/>
      </c>
      <c r="AE126" s="702"/>
      <c r="AF126" s="587" t="str">
        <f>IF(AND(code5&lt;&gt;"",'I3'!$AB$34&lt;&gt;""),'I3'!$AB$34,"")</f>
        <v/>
      </c>
      <c r="AG126" s="1"/>
      <c r="AH126" s="890" t="str">
        <f t="shared" si="101"/>
        <v/>
      </c>
      <c r="AI126" s="894" t="str">
        <f>IF(OR(AND(p_car_stop=2,AF126&lt;=$H126,$H126&lt;&gt;"",AF126&lt;&gt;""),AND(p_car_stop=1,AF126&lt;$H126,$H126&lt;&gt;"",AF126&lt;&gt;"")),1,"")</f>
        <v/>
      </c>
      <c r="AJ126" s="702"/>
      <c r="AK126" s="900">
        <f>MAX($H126,$L126,$Q126,$V126,$AA126,$AF126)</f>
        <v>0</v>
      </c>
      <c r="AL126" s="31"/>
      <c r="AM126" s="29"/>
      <c r="AN126" s="29"/>
      <c r="AO126" s="29"/>
      <c r="AP126" s="29"/>
    </row>
    <row r="127" spans="2:42" ht="15" customHeight="1">
      <c r="B127" s="33"/>
      <c r="C127" s="59"/>
      <c r="D127" s="85" t="s">
        <v>17</v>
      </c>
      <c r="E127" s="59"/>
      <c r="F127" s="294" t="str">
        <f>F$107</f>
        <v/>
      </c>
      <c r="G127" s="190"/>
      <c r="H127" s="590" t="str">
        <f>IF(AND(code0&lt;&gt;"",'I3'!$I$34&lt;&gt;""),'I3'!$I$34,"")</f>
        <v/>
      </c>
      <c r="I127" s="1"/>
      <c r="J127" s="892" t="str">
        <f t="shared" ref="J127" si="102">IF(H127=$AK127,1,"")</f>
        <v/>
      </c>
      <c r="K127" s="703"/>
      <c r="L127" s="589" t="str">
        <f>IF(AND(code1&lt;&gt;"",'I3'!$M$34&lt;&gt;""),'I3'!$M$34,"")</f>
        <v/>
      </c>
      <c r="M127" s="1"/>
      <c r="N127" s="892" t="str">
        <f t="shared" ref="N127" si="103">IF(L127=$AK127,1,"")</f>
        <v/>
      </c>
      <c r="O127" s="895" t="str">
        <f>IF(OR(AND(p_car_stop=2,L127&gt;=$H127,$H127&lt;&gt;"",L127&lt;&gt;""),AND(p_car_stop=1,L127&gt;$H127,$H127&lt;&gt;"",L127&lt;&gt;"")),1,"")</f>
        <v/>
      </c>
      <c r="P127" s="703"/>
      <c r="Q127" s="589" t="str">
        <f>IF(AND(code2&lt;&gt;"",'I3'!$Q$34&lt;&gt;""),'I3'!$Q$34,"")</f>
        <v/>
      </c>
      <c r="R127" s="1"/>
      <c r="S127" s="892" t="str">
        <f t="shared" ref="S127" si="104">IF(Q127=$AK127,1,"")</f>
        <v/>
      </c>
      <c r="T127" s="895" t="str">
        <f>IF(OR(AND(p_car_stop=2,Q127&gt;=$H127,$H127&lt;&gt;"",Q127&lt;&gt;""),AND(p_car_stop=1,Q127&gt;$H127,$H127&lt;&gt;"",Q127&lt;&gt;"")),1,"")</f>
        <v/>
      </c>
      <c r="U127" s="703"/>
      <c r="V127" s="589" t="str">
        <f>IF(AND(code3&lt;&gt;"",'I3'!$U$34&lt;&gt;""),'I3'!$U$34,"")</f>
        <v/>
      </c>
      <c r="W127" s="1"/>
      <c r="X127" s="892" t="str">
        <f t="shared" ref="X127" si="105">IF(V127=$AK127,1,"")</f>
        <v/>
      </c>
      <c r="Y127" s="895" t="str">
        <f>IF(OR(AND(p_car_stop=2,V127&gt;=$H127,$H127&lt;&gt;"",V127&lt;&gt;""),AND(p_car_stop=1,V127&gt;$H127,$H127&lt;&gt;"",V127&lt;&gt;"")),1,"")</f>
        <v/>
      </c>
      <c r="Z127" s="703"/>
      <c r="AA127" s="589" t="str">
        <f>IF(AND(code4&lt;&gt;"",'I3'!$X$34&lt;&gt;""),'I3'!$X$34,"")</f>
        <v/>
      </c>
      <c r="AB127" s="1"/>
      <c r="AC127" s="892" t="str">
        <f t="shared" ref="AC127" si="106">IF(AA127=$AK127,1,"")</f>
        <v/>
      </c>
      <c r="AD127" s="895" t="str">
        <f>IF(OR(AND(p_car_stop=2,AA127&gt;=$H127,$H127&lt;&gt;"",AA127&lt;&gt;""),AND(p_car_stop=1,AA127&gt;$H127,$H127&lt;&gt;"",AA127&lt;&gt;"")),1,"")</f>
        <v/>
      </c>
      <c r="AE127" s="703"/>
      <c r="AF127" s="589" t="str">
        <f>IF(AND(code5&lt;&gt;"",'I3'!$AC$34&lt;&gt;""),'I3'!$AC$34,"")</f>
        <v/>
      </c>
      <c r="AG127" s="1"/>
      <c r="AH127" s="890" t="str">
        <f t="shared" ref="AH127" si="107">IF(AF127=$AK127,1,"")</f>
        <v/>
      </c>
      <c r="AI127" s="894" t="str">
        <f>IF(OR(AND(p_car_stop=2,AF127&gt;=$H127,$H127&lt;&gt;"",AF127&lt;&gt;""),AND(p_car_stop=1,AF127&gt;$H127,$H127&lt;&gt;"",AF127&lt;&gt;"")),1,"")</f>
        <v/>
      </c>
      <c r="AJ127" s="702"/>
      <c r="AK127" s="900">
        <f>MIN($H127,$L127,$Q127,$V127,$AA127,$AF127)</f>
        <v>0</v>
      </c>
      <c r="AL127" s="31"/>
      <c r="AM127" s="29"/>
      <c r="AN127" s="29"/>
      <c r="AO127" s="29"/>
      <c r="AP127" s="29"/>
    </row>
    <row r="128" spans="2:42" ht="15" customHeight="1">
      <c r="B128" s="33"/>
      <c r="C128" s="49" t="s">
        <v>254</v>
      </c>
      <c r="D128" s="47"/>
      <c r="F128" s="748"/>
      <c r="G128" s="748"/>
      <c r="H128" s="423"/>
      <c r="I128" s="1"/>
      <c r="J128" s="709"/>
      <c r="K128" s="704"/>
      <c r="L128" s="423"/>
      <c r="M128" s="1"/>
      <c r="N128" s="709"/>
      <c r="O128" s="711"/>
      <c r="P128" s="704"/>
      <c r="Q128" s="423"/>
      <c r="R128" s="1"/>
      <c r="S128" s="709"/>
      <c r="T128" s="711"/>
      <c r="U128" s="704"/>
      <c r="V128" s="423"/>
      <c r="W128" s="1"/>
      <c r="X128" s="709"/>
      <c r="Y128" s="711"/>
      <c r="Z128" s="704"/>
      <c r="AA128" s="423"/>
      <c r="AB128" s="1"/>
      <c r="AC128" s="709"/>
      <c r="AD128" s="711"/>
      <c r="AE128" s="704"/>
      <c r="AF128" s="421"/>
      <c r="AG128" s="1"/>
      <c r="AH128" s="709"/>
      <c r="AI128" s="711"/>
      <c r="AJ128" s="704"/>
      <c r="AK128" s="704"/>
      <c r="AL128" s="31"/>
      <c r="AM128" s="29"/>
      <c r="AN128" s="29"/>
      <c r="AO128" s="29"/>
      <c r="AP128" s="29"/>
    </row>
    <row r="129" spans="2:42" ht="15" customHeight="1">
      <c r="B129" s="33"/>
      <c r="C129" s="29"/>
      <c r="D129" s="47" t="s">
        <v>258</v>
      </c>
      <c r="F129" s="182" t="s">
        <v>293</v>
      </c>
      <c r="G129" s="182"/>
      <c r="H129" s="587" t="str">
        <f>IF(code0="","",'I1'!F71)</f>
        <v/>
      </c>
      <c r="I129" s="1"/>
      <c r="J129" s="890" t="str">
        <f t="shared" ref="J129:J131" si="108">IF(AND(H129&gt;0,H129=$AK129),1,"")</f>
        <v/>
      </c>
      <c r="K129" s="702"/>
      <c r="L129" s="587" t="str">
        <f>IF(code1="","",'I1'!H71)</f>
        <v/>
      </c>
      <c r="M129" s="1"/>
      <c r="N129" s="890" t="str">
        <f t="shared" ref="N129:N131" si="109">IF(AND(L129&gt;0,L129=$AK129),1,"")</f>
        <v/>
      </c>
      <c r="O129" s="894" t="str">
        <f>IF(OR(AND(p_car_share=2,L129&lt;=$H129,$H129&lt;&gt;"",L129&lt;&gt;""),AND(p_car_share=1,L129&lt;$H129,$H129&lt;&gt;"",L129&lt;&gt;"")),1,"")</f>
        <v/>
      </c>
      <c r="P129" s="702"/>
      <c r="Q129" s="587" t="str">
        <f>IF(code2="","",'I1'!J71)</f>
        <v/>
      </c>
      <c r="R129" s="1"/>
      <c r="S129" s="890" t="str">
        <f t="shared" ref="S129:S131" si="110">IF(AND(Q129&gt;0,Q129=$AK129),1,"")</f>
        <v/>
      </c>
      <c r="T129" s="894" t="str">
        <f>IF(OR(AND(p_car_share=2,Q129&lt;=$H129,$H129&lt;&gt;"",Q129&lt;&gt;""),AND(p_car_share=1,Q129&lt;$H129,$H129&lt;&gt;"",Q129&lt;&gt;"")),1,"")</f>
        <v/>
      </c>
      <c r="U129" s="702"/>
      <c r="V129" s="587" t="str">
        <f>IF(code3="","",'I1'!L71)</f>
        <v/>
      </c>
      <c r="W129" s="1"/>
      <c r="X129" s="890" t="str">
        <f t="shared" ref="X129:X131" si="111">IF(AND(V129&gt;0,V129=$AK129),1,"")</f>
        <v/>
      </c>
      <c r="Y129" s="894" t="str">
        <f>IF(OR(AND(p_car_share=2,V129&lt;=$H129,$H129&lt;&gt;"",V129&lt;&gt;""),AND(p_car_share=1,V129&lt;$H129,$H129&lt;&gt;"",V129&lt;&gt;"")),1,"")</f>
        <v/>
      </c>
      <c r="Z129" s="702"/>
      <c r="AA129" s="587" t="str">
        <f>IF(code4="","",'I1'!N71)</f>
        <v/>
      </c>
      <c r="AB129" s="1"/>
      <c r="AC129" s="890" t="str">
        <f t="shared" ref="AC129:AC131" si="112">IF(AND(AA129&gt;0,AA129=$AK129),1,"")</f>
        <v/>
      </c>
      <c r="AD129" s="894" t="str">
        <f>IF(OR(AND(p_car_share=2,AA129&lt;=$H129,$H129&lt;&gt;"",AA129&lt;&gt;""),AND(p_car_share=1,AA129&lt;$H129,$H129&lt;&gt;"",AA129&lt;&gt;"")),1,"")</f>
        <v/>
      </c>
      <c r="AE129" s="702"/>
      <c r="AF129" s="587" t="str">
        <f>IF(code5="","",'I1'!P71)</f>
        <v/>
      </c>
      <c r="AG129" s="1"/>
      <c r="AH129" s="890" t="str">
        <f t="shared" ref="AH129:AH131" si="113">IF(AND(AF129&gt;0,AF129=$AK129),1,"")</f>
        <v/>
      </c>
      <c r="AI129" s="894" t="str">
        <f>IF(OR(AND(p_car_share=2,AF129&lt;=$H129,$H129&lt;&gt;"",AF129&lt;&gt;""),AND(p_car_share=1,AF129&lt;$H129,$H129&lt;&gt;"",AF129&lt;&gt;"")),1,"")</f>
        <v/>
      </c>
      <c r="AJ129" s="702"/>
      <c r="AK129" s="900">
        <f>MAX($H129,$L129,$Q129,$V129,$AA129,$AF129)</f>
        <v>0</v>
      </c>
      <c r="AL129" s="31"/>
      <c r="AM129" s="29"/>
      <c r="AN129" s="29"/>
      <c r="AO129" s="29"/>
      <c r="AP129" s="29"/>
    </row>
    <row r="130" spans="2:42" ht="15" customHeight="1">
      <c r="B130" s="33"/>
      <c r="C130" s="29"/>
      <c r="D130" s="47" t="s">
        <v>110</v>
      </c>
      <c r="F130" s="190" t="str">
        <f>F$105</f>
        <v/>
      </c>
      <c r="G130" s="190"/>
      <c r="H130" s="588" t="str">
        <f>IF(AND(code0&lt;&gt;"",'I3'!$G$35&lt;&gt;""),'I3'!$G$35,"")</f>
        <v/>
      </c>
      <c r="I130" s="1"/>
      <c r="J130" s="890" t="str">
        <f t="shared" si="108"/>
        <v/>
      </c>
      <c r="K130" s="706"/>
      <c r="L130" s="587" t="str">
        <f>IF(AND(code1&lt;&gt;"",'I3'!$K$35&lt;&gt;""),'I3'!$K$35,"")</f>
        <v/>
      </c>
      <c r="M130" s="1"/>
      <c r="N130" s="890" t="str">
        <f t="shared" si="109"/>
        <v/>
      </c>
      <c r="O130" s="890" t="str">
        <f>IF(OR(AND(p_car_share=2,L130&lt;=$H130,$H130&lt;&gt;"",L130&lt;&gt;""),AND(p_car_share=1,L130&lt;$H130,$H130&lt;&gt;"",L130&lt;&gt;"")),1,"")</f>
        <v/>
      </c>
      <c r="P130" s="706"/>
      <c r="Q130" s="587" t="str">
        <f>IF(AND(code2&lt;&gt;"",'I3'!$O$35&lt;&gt;""),'I3'!$O$35,"")</f>
        <v/>
      </c>
      <c r="R130" s="1"/>
      <c r="S130" s="890" t="str">
        <f t="shared" si="110"/>
        <v/>
      </c>
      <c r="T130" s="890" t="str">
        <f>IF(OR(AND(p_car_share=2,Q130&lt;=$H130,$H130&lt;&gt;"",Q130&lt;&gt;""),AND(p_car_share=1,Q130&lt;$H130,$H130&lt;&gt;"",Q130&lt;&gt;"")),1,"")</f>
        <v/>
      </c>
      <c r="U130" s="706"/>
      <c r="V130" s="587" t="str">
        <f>IF(AND(code3&lt;&gt;"",'I3'!$S$35&lt;&gt;""),'I3'!$S$35,"")</f>
        <v/>
      </c>
      <c r="W130" s="1"/>
      <c r="X130" s="890" t="str">
        <f t="shared" si="111"/>
        <v/>
      </c>
      <c r="Y130" s="890" t="str">
        <f>IF(OR(AND(p_car_share=2,V130&lt;=$H130,$H130&lt;&gt;"",V130&lt;&gt;""),AND(p_car_share=1,V130&lt;$H130,$H130&lt;&gt;"",V130&lt;&gt;"")),1,"")</f>
        <v/>
      </c>
      <c r="Z130" s="706"/>
      <c r="AA130" s="587" t="str">
        <f>IF(AND(code4&lt;&gt;"",'I3'!$V$35&lt;&gt;""),'I3'!$V$35,"")</f>
        <v/>
      </c>
      <c r="AB130" s="1"/>
      <c r="AC130" s="890" t="str">
        <f t="shared" si="112"/>
        <v/>
      </c>
      <c r="AD130" s="890" t="str">
        <f>IF(OR(AND(p_car_share=2,AA130&lt;=$H130,$H130&lt;&gt;"",AA130&lt;&gt;""),AND(p_car_share=1,AA130&lt;$H130,$H130&lt;&gt;"",AA130&lt;&gt;"")),1,"")</f>
        <v/>
      </c>
      <c r="AE130" s="706"/>
      <c r="AF130" s="587" t="str">
        <f>IF(AND(code5&lt;&gt;"",'I3'!$AA$35&lt;&gt;""),'I3'!$AA$35,"")</f>
        <v/>
      </c>
      <c r="AG130" s="1"/>
      <c r="AH130" s="890" t="str">
        <f t="shared" si="113"/>
        <v/>
      </c>
      <c r="AI130" s="890" t="str">
        <f>IF(OR(AND(p_car_share=2,AF130&lt;=$H130,$H130&lt;&gt;"",AF130&lt;&gt;""),AND(p_car_share=1,AF130&lt;$H130,$H130&lt;&gt;"",AF130&lt;&gt;"")),1,"")</f>
        <v/>
      </c>
      <c r="AJ130" s="706"/>
      <c r="AK130" s="900">
        <f>MAX($H130,$L130,$Q130,$V130,$AA130,$AF130)</f>
        <v>0</v>
      </c>
      <c r="AL130" s="31"/>
      <c r="AM130" s="29"/>
      <c r="AN130" s="29"/>
      <c r="AO130" s="29"/>
      <c r="AP130" s="29"/>
    </row>
    <row r="131" spans="2:42" ht="15" customHeight="1">
      <c r="B131" s="33"/>
      <c r="C131" s="29"/>
      <c r="D131" s="47" t="s">
        <v>36</v>
      </c>
      <c r="F131" s="190" t="str">
        <f>F$106</f>
        <v/>
      </c>
      <c r="G131" s="190"/>
      <c r="H131" s="587" t="str">
        <f>IF(AND(code0&lt;&gt;"",'I3'!$H$35&lt;&gt;""),'I3'!$H$35,"")</f>
        <v/>
      </c>
      <c r="I131" s="1"/>
      <c r="J131" s="890" t="str">
        <f t="shared" si="108"/>
        <v/>
      </c>
      <c r="K131" s="702"/>
      <c r="L131" s="587" t="str">
        <f>IF(AND(code1&lt;&gt;"",'I3'!$L$35&lt;&gt;""),'I3'!$L$35,"")</f>
        <v/>
      </c>
      <c r="M131" s="1"/>
      <c r="N131" s="890" t="str">
        <f t="shared" si="109"/>
        <v/>
      </c>
      <c r="O131" s="894" t="str">
        <f>IF(OR(AND(p_car_share=2,L131&lt;=$H131,$H131&lt;&gt;"",L131&lt;&gt;""),AND(p_car_share=1,L131&lt;$H131,$H131&lt;&gt;"",L131&lt;&gt;"")),1,"")</f>
        <v/>
      </c>
      <c r="P131" s="702"/>
      <c r="Q131" s="587" t="str">
        <f>IF(AND(code2&lt;&gt;"",'I3'!$P$35&lt;&gt;""),'I3'!$P$35,"")</f>
        <v/>
      </c>
      <c r="R131" s="1"/>
      <c r="S131" s="890" t="str">
        <f t="shared" si="110"/>
        <v/>
      </c>
      <c r="T131" s="894" t="str">
        <f>IF(OR(AND(p_car_share=2,Q131&lt;=$H131,$H131&lt;&gt;"",Q131&lt;&gt;""),AND(p_car_share=1,Q131&lt;$H131,$H131&lt;&gt;"",Q131&lt;&gt;"")),1,"")</f>
        <v/>
      </c>
      <c r="U131" s="702"/>
      <c r="V131" s="587" t="str">
        <f>IF(AND(code3&lt;&gt;"",'I3'!$T$35&lt;&gt;""),'I3'!$T$35,"")</f>
        <v/>
      </c>
      <c r="W131" s="1"/>
      <c r="X131" s="890" t="str">
        <f t="shared" si="111"/>
        <v/>
      </c>
      <c r="Y131" s="894" t="str">
        <f>IF(OR(AND(p_car_share=2,V131&lt;=$H131,$H131&lt;&gt;"",V131&lt;&gt;""),AND(p_car_share=1,V131&lt;$H131,$H131&lt;&gt;"",V131&lt;&gt;"")),1,"")</f>
        <v/>
      </c>
      <c r="Z131" s="702"/>
      <c r="AA131" s="587" t="str">
        <f>IF(AND(code4&lt;&gt;"",'I3'!$W$35&lt;&gt;""),'I3'!$W$35,"")</f>
        <v/>
      </c>
      <c r="AB131" s="1"/>
      <c r="AC131" s="890" t="str">
        <f t="shared" si="112"/>
        <v/>
      </c>
      <c r="AD131" s="894" t="str">
        <f>IF(OR(AND(p_car_share=2,AA131&lt;=$H131,$H131&lt;&gt;"",AA131&lt;&gt;""),AND(p_car_share=1,AA131&lt;$H131,$H131&lt;&gt;"",AA131&lt;&gt;"")),1,"")</f>
        <v/>
      </c>
      <c r="AE131" s="702"/>
      <c r="AF131" s="587" t="str">
        <f>IF(AND(code5&lt;&gt;"",'I3'!$AB$35&lt;&gt;""),'I3'!$AB$35,"")</f>
        <v/>
      </c>
      <c r="AG131" s="1"/>
      <c r="AH131" s="890" t="str">
        <f t="shared" si="113"/>
        <v/>
      </c>
      <c r="AI131" s="894" t="str">
        <f>IF(OR(AND(p_car_share=2,AF131&lt;=$H131,$H131&lt;&gt;"",AF131&lt;&gt;""),AND(p_car_share=1,AF131&lt;$H131,$H131&lt;&gt;"",AF131&lt;&gt;"")),1,"")</f>
        <v/>
      </c>
      <c r="AJ131" s="702"/>
      <c r="AK131" s="900">
        <f>MAX($H131,$L131,$Q131,$V131,$AA131,$AF131)</f>
        <v>0</v>
      </c>
      <c r="AL131" s="31"/>
      <c r="AM131" s="29"/>
      <c r="AN131" s="29"/>
      <c r="AO131" s="29"/>
      <c r="AP131" s="29"/>
    </row>
    <row r="132" spans="2:42" ht="15" customHeight="1">
      <c r="B132" s="33"/>
      <c r="C132" s="59"/>
      <c r="D132" s="85" t="s">
        <v>17</v>
      </c>
      <c r="E132" s="59"/>
      <c r="F132" s="294" t="str">
        <f>F$107</f>
        <v/>
      </c>
      <c r="G132" s="190"/>
      <c r="H132" s="590" t="str">
        <f>IF(AND(code0&lt;&gt;"",'I3'!$I$35&lt;&gt;""),'I3'!$I$35,"")</f>
        <v/>
      </c>
      <c r="I132" s="1"/>
      <c r="J132" s="892" t="str">
        <f t="shared" ref="J132" si="114">IF(H132=$AK132,1,"")</f>
        <v/>
      </c>
      <c r="K132" s="703"/>
      <c r="L132" s="589" t="str">
        <f>IF(AND(code1&lt;&gt;"",'I3'!$M$35&lt;&gt;""),'I3'!$M$35,"")</f>
        <v/>
      </c>
      <c r="M132" s="1"/>
      <c r="N132" s="892" t="str">
        <f t="shared" ref="N132" si="115">IF(L132=$AK132,1,"")</f>
        <v/>
      </c>
      <c r="O132" s="895" t="str">
        <f>IF(OR(AND(p_car_share=2,L132&gt;=$H132,$H132&lt;&gt;"",L132&lt;&gt;""),AND(p_car_share=1,L132&gt;$H132,$H132&lt;&gt;"",L132&lt;&gt;"")),1,"")</f>
        <v/>
      </c>
      <c r="P132" s="703"/>
      <c r="Q132" s="589" t="str">
        <f>IF(AND(code2&lt;&gt;"",'I3'!$Q$35&lt;&gt;""),'I3'!$Q$35,"")</f>
        <v/>
      </c>
      <c r="R132" s="1"/>
      <c r="S132" s="892" t="str">
        <f t="shared" ref="S132" si="116">IF(Q132=$AK132,1,"")</f>
        <v/>
      </c>
      <c r="T132" s="895" t="str">
        <f>IF(OR(AND(p_car_share=2,Q132&gt;=$H132,$H132&lt;&gt;"",Q132&lt;&gt;""),AND(p_car_share=1,Q132&gt;$H132,$H132&lt;&gt;"",Q132&lt;&gt;"")),1,"")</f>
        <v/>
      </c>
      <c r="U132" s="703"/>
      <c r="V132" s="589" t="str">
        <f>IF(AND(code3&lt;&gt;"",'I3'!$U$35&lt;&gt;""),'I3'!$U$35,"")</f>
        <v/>
      </c>
      <c r="W132" s="1"/>
      <c r="X132" s="892" t="str">
        <f t="shared" ref="X132" si="117">IF(V132=$AK132,1,"")</f>
        <v/>
      </c>
      <c r="Y132" s="895" t="str">
        <f>IF(OR(AND(p_car_share=2,V132&gt;=$H132,$H132&lt;&gt;"",V132&lt;&gt;""),AND(p_car_share=1,V132&gt;$H132,$H132&lt;&gt;"",V132&lt;&gt;"")),1,"")</f>
        <v/>
      </c>
      <c r="Z132" s="703"/>
      <c r="AA132" s="589" t="str">
        <f>IF(AND(code4&lt;&gt;"",'I3'!$X$35&lt;&gt;""),'I3'!$X$35,"")</f>
        <v/>
      </c>
      <c r="AB132" s="1"/>
      <c r="AC132" s="892" t="str">
        <f t="shared" ref="AC132" si="118">IF(AA132=$AK132,1,"")</f>
        <v/>
      </c>
      <c r="AD132" s="895" t="str">
        <f>IF(OR(AND(p_car_share=2,AA132&gt;=$H132,$H132&lt;&gt;"",AA132&lt;&gt;""),AND(p_car_share=1,AA132&gt;$H132,$H132&lt;&gt;"",AA132&lt;&gt;"")),1,"")</f>
        <v/>
      </c>
      <c r="AE132" s="703"/>
      <c r="AF132" s="589" t="str">
        <f>IF(AND(code5&lt;&gt;"",'I3'!$AC$35&lt;&gt;""),'I3'!$AC$35,"")</f>
        <v/>
      </c>
      <c r="AG132" s="1"/>
      <c r="AH132" s="890" t="str">
        <f t="shared" ref="AH132" si="119">IF(AF132=$AK132,1,"")</f>
        <v/>
      </c>
      <c r="AI132" s="894" t="str">
        <f>IF(OR(AND(p_car_share=2,AF132&gt;=$H132,$H132&lt;&gt;"",AF132&lt;&gt;""),AND(p_car_share=1,AF132&gt;$H132,$H132&lt;&gt;"",AF132&lt;&gt;"")),1,"")</f>
        <v/>
      </c>
      <c r="AJ132" s="702"/>
      <c r="AK132" s="900">
        <f>MIN($H132,$L132,$Q132,$V132,$AA132,$AF132)</f>
        <v>0</v>
      </c>
      <c r="AL132" s="31"/>
      <c r="AM132" s="29"/>
      <c r="AN132" s="29"/>
      <c r="AO132" s="29"/>
      <c r="AP132" s="29"/>
    </row>
    <row r="133" spans="2:42" ht="15" customHeight="1">
      <c r="B133" s="33"/>
      <c r="C133" s="49" t="s">
        <v>248</v>
      </c>
      <c r="D133" s="47"/>
      <c r="F133" s="748"/>
      <c r="G133" s="748"/>
      <c r="H133" s="423"/>
      <c r="I133" s="1"/>
      <c r="J133" s="709"/>
      <c r="K133" s="704"/>
      <c r="L133" s="423"/>
      <c r="M133" s="1"/>
      <c r="N133" s="709"/>
      <c r="O133" s="711"/>
      <c r="P133" s="704"/>
      <c r="Q133" s="423"/>
      <c r="R133" s="1"/>
      <c r="S133" s="709"/>
      <c r="T133" s="711"/>
      <c r="U133" s="704"/>
      <c r="V133" s="423"/>
      <c r="W133" s="1"/>
      <c r="X133" s="709"/>
      <c r="Y133" s="711"/>
      <c r="Z133" s="704"/>
      <c r="AA133" s="423"/>
      <c r="AB133" s="1"/>
      <c r="AC133" s="709"/>
      <c r="AD133" s="711"/>
      <c r="AE133" s="704"/>
      <c r="AF133" s="421"/>
      <c r="AG133" s="1"/>
      <c r="AH133" s="709"/>
      <c r="AI133" s="711"/>
      <c r="AJ133" s="704"/>
      <c r="AK133" s="704"/>
      <c r="AL133" s="31"/>
      <c r="AM133" s="29"/>
      <c r="AN133" s="29"/>
      <c r="AO133" s="29"/>
      <c r="AP133" s="29"/>
    </row>
    <row r="134" spans="2:42" ht="15" customHeight="1">
      <c r="B134" s="33"/>
      <c r="C134" s="29"/>
      <c r="D134" s="47" t="s">
        <v>258</v>
      </c>
      <c r="F134" s="182" t="s">
        <v>293</v>
      </c>
      <c r="G134" s="182"/>
      <c r="H134" s="587" t="str">
        <f>IF(code0="","",'I1'!F72)</f>
        <v/>
      </c>
      <c r="I134" s="1"/>
      <c r="J134" s="890" t="str">
        <f t="shared" ref="J134:J136" si="120">IF(AND(H134&gt;0,H134=$AK134),1,"")</f>
        <v/>
      </c>
      <c r="K134" s="891" t="str">
        <f>IF(AND(H134&gt;0,H134&lt;standard_busstop),1,"")</f>
        <v/>
      </c>
      <c r="L134" s="587" t="str">
        <f>IF(code1="","",'I1'!H72)</f>
        <v/>
      </c>
      <c r="M134" s="1"/>
      <c r="N134" s="890" t="str">
        <f t="shared" ref="N134:N136" si="121">IF(AND(L134&gt;0,L134=$AK134),1,"")</f>
        <v/>
      </c>
      <c r="O134" s="894" t="str">
        <f>IF(OR(AND(p_bus_stop=2,L134&lt;=$H134,$H134&lt;&gt;"",L134&lt;&gt;""),AND(p_bus_stop=1,L134&lt;$H134,$H134&lt;&gt;"",L134&lt;&gt;"")),1,"")</f>
        <v/>
      </c>
      <c r="P134" s="891" t="str">
        <f>IF(AND(L134&gt;0,L134&lt;standard_busstop),1,"")</f>
        <v/>
      </c>
      <c r="Q134" s="587" t="str">
        <f>IF(code2="","",'I1'!J72)</f>
        <v/>
      </c>
      <c r="R134" s="1"/>
      <c r="S134" s="890" t="str">
        <f t="shared" ref="S134:S136" si="122">IF(AND(Q134&gt;0,Q134=$AK134),1,"")</f>
        <v/>
      </c>
      <c r="T134" s="894" t="str">
        <f>IF(OR(AND(p_bus_stop=2,Q134&lt;=$H134,$H134&lt;&gt;"",Q134&lt;&gt;""),AND(p_bus_stop=1,Q134&lt;$H134,$H134&lt;&gt;"",Q134&lt;&gt;"")),1,"")</f>
        <v/>
      </c>
      <c r="U134" s="891" t="str">
        <f>IF(AND(Q134&gt;0,Q134&lt;standard_busstop),1,"")</f>
        <v/>
      </c>
      <c r="V134" s="587" t="str">
        <f>IF(code3="","",'I1'!L72)</f>
        <v/>
      </c>
      <c r="W134" s="1"/>
      <c r="X134" s="890" t="str">
        <f t="shared" ref="X134:X136" si="123">IF(AND(V134&gt;0,V134=$AK134),1,"")</f>
        <v/>
      </c>
      <c r="Y134" s="894" t="str">
        <f>IF(OR(AND(p_bus_stop=2,V134&lt;=$H134,$H134&lt;&gt;"",V134&lt;&gt;""),AND(p_bus_stop=1,V134&lt;$H134,$H134&lt;&gt;"",V134&lt;&gt;"")),1,"")</f>
        <v/>
      </c>
      <c r="Z134" s="891" t="str">
        <f>IF(AND(V134&gt;0,V134&lt;standard_busstop),1,"")</f>
        <v/>
      </c>
      <c r="AA134" s="587" t="str">
        <f>IF(code4="","",'I1'!N72)</f>
        <v/>
      </c>
      <c r="AB134" s="1"/>
      <c r="AC134" s="890" t="str">
        <f t="shared" ref="AC134:AC136" si="124">IF(AND(AA134&gt;0,AA134=$AK134),1,"")</f>
        <v/>
      </c>
      <c r="AD134" s="894" t="str">
        <f>IF(OR(AND(p_bus_stop=2,AA134&lt;=$H134,$H134&lt;&gt;"",AA134&lt;&gt;""),AND(p_bus_stop=1,AA134&lt;$H134,$H134&lt;&gt;"",AA134&lt;&gt;"")),1,"")</f>
        <v/>
      </c>
      <c r="AE134" s="891" t="str">
        <f>IF(AND(AA134&gt;0,AA134&lt;standard_busstop),1,"")</f>
        <v/>
      </c>
      <c r="AF134" s="587" t="str">
        <f>IF(code5="","",'I1'!P72)</f>
        <v/>
      </c>
      <c r="AG134" s="1"/>
      <c r="AH134" s="890" t="str">
        <f t="shared" ref="AH134:AH136" si="125">IF(AND(AF134&gt;0,AF134=$AK134),1,"")</f>
        <v/>
      </c>
      <c r="AI134" s="894" t="str">
        <f>IF(OR(AND(p_bus_stop=2,AF134&lt;=$H134,$H134&lt;&gt;"",AF134&lt;&gt;""),AND(p_bus_stop=1,AF134&lt;$H134,$H134&lt;&gt;"",AF134&lt;&gt;"")),1,"")</f>
        <v/>
      </c>
      <c r="AJ134" s="891" t="str">
        <f>IF(AND(AF134&gt;0,AF134&lt;standard_busstop),1,"")</f>
        <v/>
      </c>
      <c r="AK134" s="900">
        <f>MAX($H134,$L134,$Q134,$V134,$AA134,$AF134)</f>
        <v>0</v>
      </c>
      <c r="AL134" s="31"/>
      <c r="AM134" s="29"/>
      <c r="AN134" s="29"/>
      <c r="AO134" s="29"/>
      <c r="AP134" s="29"/>
    </row>
    <row r="135" spans="2:42" ht="15" customHeight="1">
      <c r="B135" s="33"/>
      <c r="C135" s="29"/>
      <c r="D135" s="47" t="s">
        <v>110</v>
      </c>
      <c r="F135" s="190" t="str">
        <f>F$105</f>
        <v/>
      </c>
      <c r="G135" s="190"/>
      <c r="H135" s="588" t="str">
        <f>IF(AND(code0&lt;&gt;"",'I3'!$G$36&lt;&gt;""),'I3'!$G$36,"")</f>
        <v/>
      </c>
      <c r="I135" s="1"/>
      <c r="J135" s="890" t="str">
        <f t="shared" si="120"/>
        <v/>
      </c>
      <c r="K135" s="706"/>
      <c r="L135" s="587" t="str">
        <f>IF(AND(code1&lt;&gt;"",'I3'!$K$36&lt;&gt;""),'I3'!$K$36,"")</f>
        <v/>
      </c>
      <c r="M135" s="1"/>
      <c r="N135" s="890" t="str">
        <f t="shared" si="121"/>
        <v/>
      </c>
      <c r="O135" s="890" t="str">
        <f>IF(OR(AND(p_bus_stop=2,L135&lt;=$H135,$H135&lt;&gt;"",L135&lt;&gt;""),AND(p_bus_stop=1,L135&lt;$H135,$H135&lt;&gt;"",L135&lt;&gt;"")),1,"")</f>
        <v/>
      </c>
      <c r="P135" s="706"/>
      <c r="Q135" s="587" t="str">
        <f>IF(AND(code2&lt;&gt;"",'I3'!$O$36&lt;&gt;""),'I3'!$O$36,"")</f>
        <v/>
      </c>
      <c r="R135" s="1"/>
      <c r="S135" s="890" t="str">
        <f t="shared" si="122"/>
        <v/>
      </c>
      <c r="T135" s="890" t="str">
        <f>IF(OR(AND(p_bus_stop=2,Q135&lt;=$H135,$H135&lt;&gt;"",Q135&lt;&gt;""),AND(p_bus_stop=1,Q135&lt;$H135,$H135&lt;&gt;"",Q135&lt;&gt;"")),1,"")</f>
        <v/>
      </c>
      <c r="U135" s="706"/>
      <c r="V135" s="587" t="str">
        <f>IF(AND(code3&lt;&gt;"",'I3'!$S$36&lt;&gt;""),'I3'!$S$36,"")</f>
        <v/>
      </c>
      <c r="W135" s="1"/>
      <c r="X135" s="890" t="str">
        <f t="shared" si="123"/>
        <v/>
      </c>
      <c r="Y135" s="890" t="str">
        <f>IF(OR(AND(p_bus_stop=2,V135&lt;=$H135,$H135&lt;&gt;"",V135&lt;&gt;""),AND(p_bus_stop=1,V135&lt;$H135,$H135&lt;&gt;"",V135&lt;&gt;"")),1,"")</f>
        <v/>
      </c>
      <c r="Z135" s="706"/>
      <c r="AA135" s="587" t="str">
        <f>IF(AND(code4&lt;&gt;"",'I3'!$V$36&lt;&gt;""),'I3'!$V$36,"")</f>
        <v/>
      </c>
      <c r="AB135" s="1"/>
      <c r="AC135" s="890" t="str">
        <f t="shared" si="124"/>
        <v/>
      </c>
      <c r="AD135" s="890" t="str">
        <f>IF(OR(AND(p_bus_stop=2,AA135&lt;=$H135,$H135&lt;&gt;"",AA135&lt;&gt;""),AND(p_bus_stop=1,AA135&lt;$H135,$H135&lt;&gt;"",AA135&lt;&gt;"")),1,"")</f>
        <v/>
      </c>
      <c r="AE135" s="706"/>
      <c r="AF135" s="587" t="str">
        <f>IF(AND(code5&lt;&gt;"",'I3'!$AA$36&lt;&gt;""),'I3'!$AA$36,"")</f>
        <v/>
      </c>
      <c r="AG135" s="1"/>
      <c r="AH135" s="890" t="str">
        <f t="shared" si="125"/>
        <v/>
      </c>
      <c r="AI135" s="890" t="str">
        <f>IF(OR(AND(p_bus_stop=2,AF135&lt;=$H135,$H135&lt;&gt;"",AF135&lt;&gt;""),AND(p_bus_stop=1,AF135&lt;$H135,$H135&lt;&gt;"",AF135&lt;&gt;"")),1,"")</f>
        <v/>
      </c>
      <c r="AJ135" s="706"/>
      <c r="AK135" s="900">
        <f>MAX($H135,$L135,$Q135,$V135,$AA135,$AF135)</f>
        <v>0</v>
      </c>
      <c r="AL135" s="31"/>
      <c r="AM135" s="29"/>
      <c r="AN135" s="29"/>
      <c r="AO135" s="29"/>
      <c r="AP135" s="29"/>
    </row>
    <row r="136" spans="2:42" ht="15" customHeight="1">
      <c r="B136" s="33"/>
      <c r="C136" s="29"/>
      <c r="D136" s="47" t="s">
        <v>36</v>
      </c>
      <c r="F136" s="190" t="str">
        <f>F$106</f>
        <v/>
      </c>
      <c r="G136" s="190"/>
      <c r="H136" s="587" t="str">
        <f>IF(AND(code0&lt;&gt;"",'I3'!$H$36&lt;&gt;""),'I3'!$H$36,"")</f>
        <v/>
      </c>
      <c r="I136" s="1"/>
      <c r="J136" s="890" t="str">
        <f t="shared" si="120"/>
        <v/>
      </c>
      <c r="K136" s="702"/>
      <c r="L136" s="587" t="str">
        <f>IF(AND(code1&lt;&gt;"",'I3'!$L$36&lt;&gt;""),'I3'!$L$36,"")</f>
        <v/>
      </c>
      <c r="M136" s="1"/>
      <c r="N136" s="890" t="str">
        <f t="shared" si="121"/>
        <v/>
      </c>
      <c r="O136" s="894" t="str">
        <f>IF(OR(AND(p_bus_stop=2,L136&lt;=$H136,$H136&lt;&gt;"",L136&lt;&gt;""),AND(p_bus_stop=1,L136&lt;$H136,$H136&lt;&gt;"",L136&lt;&gt;"")),1,"")</f>
        <v/>
      </c>
      <c r="P136" s="702"/>
      <c r="Q136" s="587" t="str">
        <f>IF(AND(code2&lt;&gt;"",'I3'!$P$36&lt;&gt;""),'I3'!$P$36,"")</f>
        <v/>
      </c>
      <c r="R136" s="1"/>
      <c r="S136" s="890" t="str">
        <f t="shared" si="122"/>
        <v/>
      </c>
      <c r="T136" s="894" t="str">
        <f>IF(OR(AND(p_bus_stop=2,Q136&lt;=$H136,$H136&lt;&gt;"",Q136&lt;&gt;""),AND(p_bus_stop=1,Q136&lt;$H136,$H136&lt;&gt;"",Q136&lt;&gt;"")),1,"")</f>
        <v/>
      </c>
      <c r="U136" s="702"/>
      <c r="V136" s="587" t="str">
        <f>IF(AND(code3&lt;&gt;"",'I3'!$T$36&lt;&gt;""),'I3'!$T$36,"")</f>
        <v/>
      </c>
      <c r="W136" s="1"/>
      <c r="X136" s="890" t="str">
        <f t="shared" si="123"/>
        <v/>
      </c>
      <c r="Y136" s="894" t="str">
        <f>IF(OR(AND(p_bus_stop=2,V136&lt;=$H136,$H136&lt;&gt;"",V136&lt;&gt;""),AND(p_bus_stop=1,V136&lt;$H136,$H136&lt;&gt;"",V136&lt;&gt;"")),1,"")</f>
        <v/>
      </c>
      <c r="Z136" s="702"/>
      <c r="AA136" s="587" t="str">
        <f>IF(AND(code4&lt;&gt;"",'I3'!$W$36&lt;&gt;""),'I3'!$W$36,"")</f>
        <v/>
      </c>
      <c r="AB136" s="1"/>
      <c r="AC136" s="890" t="str">
        <f t="shared" si="124"/>
        <v/>
      </c>
      <c r="AD136" s="894" t="str">
        <f>IF(OR(AND(p_bus_stop=2,AA136&lt;=$H136,$H136&lt;&gt;"",AA136&lt;&gt;""),AND(p_bus_stop=1,AA136&lt;$H136,$H136&lt;&gt;"",AA136&lt;&gt;"")),1,"")</f>
        <v/>
      </c>
      <c r="AE136" s="702"/>
      <c r="AF136" s="587" t="str">
        <f>IF(AND(code5&lt;&gt;"",'I3'!$AB$36&lt;&gt;""),'I3'!$AB$36,"")</f>
        <v/>
      </c>
      <c r="AG136" s="1"/>
      <c r="AH136" s="890" t="str">
        <f t="shared" si="125"/>
        <v/>
      </c>
      <c r="AI136" s="894" t="str">
        <f>IF(OR(AND(p_bus_stop=2,AF136&lt;=$H136,$H136&lt;&gt;"",AF136&lt;&gt;""),AND(p_bus_stop=1,AF136&lt;$H136,$H136&lt;&gt;"",AF136&lt;&gt;"")),1,"")</f>
        <v/>
      </c>
      <c r="AJ136" s="702"/>
      <c r="AK136" s="900">
        <f>MAX($H136,$L136,$Q136,$V136,$AA136,$AF136)</f>
        <v>0</v>
      </c>
      <c r="AL136" s="31"/>
      <c r="AM136" s="29"/>
      <c r="AN136" s="29"/>
      <c r="AO136" s="29"/>
      <c r="AP136" s="29"/>
    </row>
    <row r="137" spans="2:42" ht="15" customHeight="1">
      <c r="B137" s="33"/>
      <c r="C137" s="59"/>
      <c r="D137" s="85" t="s">
        <v>17</v>
      </c>
      <c r="E137" s="59"/>
      <c r="F137" s="294" t="str">
        <f>F$107</f>
        <v/>
      </c>
      <c r="G137" s="190"/>
      <c r="H137" s="590" t="str">
        <f>IF(AND(code0&lt;&gt;"",'I3'!$I$36&lt;&gt;""),'I3'!$I$36,"")</f>
        <v/>
      </c>
      <c r="I137" s="1"/>
      <c r="J137" s="892" t="str">
        <f t="shared" ref="J137" si="126">IF(H137=$AK137,1,"")</f>
        <v/>
      </c>
      <c r="K137" s="703"/>
      <c r="L137" s="589" t="str">
        <f>IF(AND(code1&lt;&gt;"",'I3'!$M$36&lt;&gt;""),'I3'!$M$36,"")</f>
        <v/>
      </c>
      <c r="M137" s="1"/>
      <c r="N137" s="892" t="str">
        <f t="shared" ref="N137" si="127">IF(L137=$AK137,1,"")</f>
        <v/>
      </c>
      <c r="O137" s="895" t="str">
        <f>IF(OR(AND(p_bus_stop=2,L137&gt;=$H137,$H137&lt;&gt;"",L137&lt;&gt;""),AND(p_bus_stop=1,L137&gt;$H137,$H137&lt;&gt;"",L137&lt;&gt;"")),1,"")</f>
        <v/>
      </c>
      <c r="P137" s="703"/>
      <c r="Q137" s="589" t="str">
        <f>IF(AND(code2&lt;&gt;"",'I3'!$Q$36&lt;&gt;""),'I3'!$Q$36,"")</f>
        <v/>
      </c>
      <c r="R137" s="1"/>
      <c r="S137" s="892" t="str">
        <f t="shared" ref="S137" si="128">IF(Q137=$AK137,1,"")</f>
        <v/>
      </c>
      <c r="T137" s="895" t="str">
        <f>IF(OR(AND(p_bus_stop=2,Q137&gt;=$H137,$H137&lt;&gt;"",Q137&lt;&gt;""),AND(p_bus_stop=1,Q137&gt;$H137,$H137&lt;&gt;"",Q137&lt;&gt;"")),1,"")</f>
        <v/>
      </c>
      <c r="U137" s="703"/>
      <c r="V137" s="589" t="str">
        <f>IF(AND(code3&lt;&gt;"",'I3'!$U$36&lt;&gt;""),'I3'!$U$36,"")</f>
        <v/>
      </c>
      <c r="W137" s="1"/>
      <c r="X137" s="892" t="str">
        <f t="shared" ref="X137" si="129">IF(V137=$AK137,1,"")</f>
        <v/>
      </c>
      <c r="Y137" s="895" t="str">
        <f>IF(OR(AND(p_bus_stop=2,V137&gt;=$H137,$H137&lt;&gt;"",V137&lt;&gt;""),AND(p_bus_stop=1,V137&gt;$H137,$H137&lt;&gt;"",V137&lt;&gt;"")),1,"")</f>
        <v/>
      </c>
      <c r="Z137" s="703"/>
      <c r="AA137" s="589" t="str">
        <f>IF(AND(code4&lt;&gt;"",'I3'!$X$36&lt;&gt;""),'I3'!$X$36,"")</f>
        <v/>
      </c>
      <c r="AB137" s="1"/>
      <c r="AC137" s="892" t="str">
        <f t="shared" ref="AC137" si="130">IF(AA137=$AK137,1,"")</f>
        <v/>
      </c>
      <c r="AD137" s="895" t="str">
        <f>IF(OR(AND(p_bus_stop=2,AA137&gt;=$H137,$H137&lt;&gt;"",AA137&lt;&gt;""),AND(p_bus_stop=1,AA137&gt;$H137,$H137&lt;&gt;"",AA137&lt;&gt;"")),1,"")</f>
        <v/>
      </c>
      <c r="AE137" s="703"/>
      <c r="AF137" s="589" t="str">
        <f>IF(AND(code5&lt;&gt;"",'I3'!$AC$36&lt;&gt;""),'I3'!$AC$36,"")</f>
        <v/>
      </c>
      <c r="AG137" s="1"/>
      <c r="AH137" s="890" t="str">
        <f t="shared" ref="AH137" si="131">IF(AF137=$AK137,1,"")</f>
        <v/>
      </c>
      <c r="AI137" s="894" t="str">
        <f>IF(OR(AND(p_bus_stop=2,AF137&gt;=$H137,$H137&lt;&gt;"",AF137&lt;&gt;""),AND(p_bus_stop=1,AF137&gt;$H137,$H137&lt;&gt;"",AF137&lt;&gt;"")),1,"")</f>
        <v/>
      </c>
      <c r="AJ137" s="702"/>
      <c r="AK137" s="900">
        <f>MIN($H137,$L137,$Q137,$V137,$AA137,$AF137)</f>
        <v>0</v>
      </c>
      <c r="AL137" s="31"/>
      <c r="AM137" s="29"/>
      <c r="AN137" s="29"/>
      <c r="AO137" s="29"/>
      <c r="AP137" s="29"/>
    </row>
    <row r="138" spans="2:42" ht="15" customHeight="1">
      <c r="B138" s="33"/>
      <c r="C138" s="49" t="s">
        <v>268</v>
      </c>
      <c r="D138" s="47"/>
      <c r="F138" s="748"/>
      <c r="G138" s="748"/>
      <c r="H138" s="423"/>
      <c r="I138" s="1"/>
      <c r="J138" s="709"/>
      <c r="K138" s="704"/>
      <c r="L138" s="423"/>
      <c r="M138" s="1"/>
      <c r="N138" s="709"/>
      <c r="O138" s="711"/>
      <c r="P138" s="704"/>
      <c r="Q138" s="423"/>
      <c r="R138" s="1"/>
      <c r="S138" s="709"/>
      <c r="T138" s="711"/>
      <c r="U138" s="704"/>
      <c r="V138" s="423"/>
      <c r="W138" s="1"/>
      <c r="X138" s="709"/>
      <c r="Y138" s="711"/>
      <c r="Z138" s="704"/>
      <c r="AA138" s="423"/>
      <c r="AB138" s="1"/>
      <c r="AC138" s="709"/>
      <c r="AD138" s="711"/>
      <c r="AE138" s="704"/>
      <c r="AF138" s="421"/>
      <c r="AG138" s="1"/>
      <c r="AH138" s="709"/>
      <c r="AI138" s="711"/>
      <c r="AJ138" s="704"/>
      <c r="AK138" s="704"/>
      <c r="AL138" s="31"/>
      <c r="AM138" s="29"/>
      <c r="AN138" s="29"/>
      <c r="AO138" s="29"/>
      <c r="AP138" s="29"/>
    </row>
    <row r="139" spans="2:42" ht="15" customHeight="1">
      <c r="B139" s="33"/>
      <c r="C139" s="29"/>
      <c r="D139" s="47" t="s">
        <v>258</v>
      </c>
      <c r="F139" s="182" t="s">
        <v>293</v>
      </c>
      <c r="G139" s="182"/>
      <c r="H139" s="587" t="str">
        <f>IF(code0="","",'I1'!F73)</f>
        <v/>
      </c>
      <c r="I139" s="1"/>
      <c r="J139" s="890" t="str">
        <f t="shared" ref="J139:J141" si="132">IF(AND(H139&gt;0,H139=$AK139),1,"")</f>
        <v/>
      </c>
      <c r="K139" s="893" t="str">
        <f>IF(AND(H139&gt;0,H139&lt;standard_load),1,"")</f>
        <v/>
      </c>
      <c r="L139" s="587" t="str">
        <f>IF(code1="","",'I1'!H73)</f>
        <v/>
      </c>
      <c r="M139" s="1"/>
      <c r="N139" s="890" t="str">
        <f t="shared" ref="N139:N141" si="133">IF(AND(L139&gt;0,L139=$AK139),1,"")</f>
        <v/>
      </c>
      <c r="O139" s="894" t="str">
        <f>IF(AND($H139&lt;&gt;"",L139&lt;&gt;"",OR(AND(p_gv_stop=2,L139&lt;=$H139),AND(p_gv_stop=1,L139&lt;$H139),AND(p_parkload=TRUE,L139&lt;=$H139))),1,"")</f>
        <v/>
      </c>
      <c r="P139" s="893" t="str">
        <f>IF(AND(L139&gt;0,L139&lt;standard_load),1,"")</f>
        <v/>
      </c>
      <c r="Q139" s="587" t="str">
        <f>IF(code2="","",'I1'!J73)</f>
        <v/>
      </c>
      <c r="R139" s="1"/>
      <c r="S139" s="890" t="str">
        <f t="shared" ref="S139:S141" si="134">IF(AND(Q139&gt;0,Q139=$AK139),1,"")</f>
        <v/>
      </c>
      <c r="T139" s="894" t="str">
        <f>IF(AND($H139&lt;&gt;"",Q139&lt;&gt;"",OR(AND(p_gv_stop=2,Q139&lt;=$H139),AND(p_gv_stop=1,Q139&lt;$H139),AND(p_parkload=TRUE,Q139&lt;=$H139))),1,"")</f>
        <v/>
      </c>
      <c r="U139" s="893" t="str">
        <f>IF(AND(Q139&gt;0,Q139&lt;standard_load),1,"")</f>
        <v/>
      </c>
      <c r="V139" s="587" t="str">
        <f>IF(code3="","",'I1'!L73)</f>
        <v/>
      </c>
      <c r="W139" s="1"/>
      <c r="X139" s="890" t="str">
        <f t="shared" ref="X139:X141" si="135">IF(AND(V139&gt;0,V139=$AK139),1,"")</f>
        <v/>
      </c>
      <c r="Y139" s="894" t="str">
        <f>IF(AND($H139&lt;&gt;"",V139&lt;&gt;"",OR(AND(p_gv_stop=2,V139&lt;=$H139),AND(p_gv_stop=1,V139&lt;$H139),AND(p_parkload=TRUE,V139&lt;=$H139))),1,"")</f>
        <v/>
      </c>
      <c r="Z139" s="893" t="str">
        <f>IF(AND(V139&gt;0,V139&lt;standard_load),1,"")</f>
        <v/>
      </c>
      <c r="AA139" s="587" t="str">
        <f>IF(code4="","",'I1'!N73)</f>
        <v/>
      </c>
      <c r="AB139" s="1"/>
      <c r="AC139" s="890" t="str">
        <f t="shared" ref="AC139:AC141" si="136">IF(AND(AA139&gt;0,AA139=$AK139),1,"")</f>
        <v/>
      </c>
      <c r="AD139" s="894" t="str">
        <f>IF(AND($H139&lt;&gt;"",AA139&lt;&gt;"",OR(AND(p_gv_stop=2,AA139&lt;=$H139),AND(p_gv_stop=1,AA139&lt;$H139),AND(p_parkload=TRUE,AA139&lt;=$H139))),1,"")</f>
        <v/>
      </c>
      <c r="AE139" s="893" t="str">
        <f>IF(AND(AA139&gt;0,AA139&lt;standard_load),1,"")</f>
        <v/>
      </c>
      <c r="AF139" s="587" t="str">
        <f>IF(code5="","",'I1'!P73)</f>
        <v/>
      </c>
      <c r="AG139" s="1"/>
      <c r="AH139" s="890" t="str">
        <f t="shared" ref="AH139:AH141" si="137">IF(AND(AF139&gt;0,AF139=$AK139),1,"")</f>
        <v/>
      </c>
      <c r="AI139" s="894" t="str">
        <f>IF(AND($H139&lt;&gt;"",AF139&lt;&gt;"",OR(AND(p_gv_stop=2,AF139&lt;=$H139),AND(p_gv_stop=1,AF139&lt;$H139),AND(p_parkload=TRUE,AF139&lt;=$H139))),1,"")</f>
        <v/>
      </c>
      <c r="AJ139" s="893" t="str">
        <f>IF(AND(AF139&gt;0,AF139&lt;standard_load),1,"")</f>
        <v/>
      </c>
      <c r="AK139" s="900">
        <f>MAX($H139,$L139,$Q139,$V139,$AA139,$AF139)</f>
        <v>0</v>
      </c>
      <c r="AL139" s="31"/>
      <c r="AM139" s="29"/>
      <c r="AN139" s="29"/>
      <c r="AO139" s="29"/>
      <c r="AP139" s="29"/>
    </row>
    <row r="140" spans="2:42" ht="15" customHeight="1">
      <c r="B140" s="33"/>
      <c r="C140" s="29"/>
      <c r="D140" s="47" t="s">
        <v>110</v>
      </c>
      <c r="F140" s="190" t="str">
        <f>F$105</f>
        <v/>
      </c>
      <c r="G140" s="190"/>
      <c r="H140" s="588" t="str">
        <f>IF(AND(code0&lt;&gt;"",'I3'!$G$30&lt;&gt;""),'I3'!$G$30,"")</f>
        <v/>
      </c>
      <c r="I140" s="1"/>
      <c r="J140" s="890" t="str">
        <f t="shared" si="132"/>
        <v/>
      </c>
      <c r="K140" s="706"/>
      <c r="L140" s="587" t="str">
        <f>IF(AND(code1&lt;&gt;"",'I3'!$K$30&lt;&gt;""),'I3'!$K$30,"")</f>
        <v/>
      </c>
      <c r="M140" s="1"/>
      <c r="N140" s="890" t="str">
        <f t="shared" si="133"/>
        <v/>
      </c>
      <c r="O140" s="890" t="str">
        <f>IF(OR(AND(p_gv_stop=2,L140&lt;=$H140,$H140&lt;&gt;"",L140&lt;&gt;""),AND(p_gv_stop=1,L140&lt;$H140,$H140&lt;&gt;"",L140&lt;&gt;"")),1,"")</f>
        <v/>
      </c>
      <c r="P140" s="706"/>
      <c r="Q140" s="587" t="str">
        <f>IF(AND(code2&lt;&gt;"",'I3'!$O$30&lt;&gt;""),'I3'!$O$30,"")</f>
        <v/>
      </c>
      <c r="R140" s="1"/>
      <c r="S140" s="890" t="str">
        <f t="shared" si="134"/>
        <v/>
      </c>
      <c r="T140" s="890" t="str">
        <f>IF(OR(AND(p_gv_stop=2,Q140&lt;=$H140,$H140&lt;&gt;"",Q140&lt;&gt;""),AND(p_gv_stop=1,Q140&lt;$H140,$H140&lt;&gt;"",Q140&lt;&gt;"")),1,"")</f>
        <v/>
      </c>
      <c r="U140" s="706"/>
      <c r="V140" s="587" t="str">
        <f>IF(AND(code3&lt;&gt;"",'I3'!$S$30&lt;&gt;""),'I3'!$S$30,"")</f>
        <v/>
      </c>
      <c r="W140" s="1"/>
      <c r="X140" s="890" t="str">
        <f t="shared" si="135"/>
        <v/>
      </c>
      <c r="Y140" s="890" t="str">
        <f>IF(OR(AND(p_gv_stop=2,V140&lt;=$H140,$H140&lt;&gt;"",V140&lt;&gt;""),AND(p_gv_stop=1,V140&lt;$H140,$H140&lt;&gt;"",V140&lt;&gt;"")),1,"")</f>
        <v/>
      </c>
      <c r="Z140" s="706"/>
      <c r="AA140" s="587" t="str">
        <f>IF(AND(code4&lt;&gt;"",'I3'!$V$30&lt;&gt;""),'I3'!$V$30,"")</f>
        <v/>
      </c>
      <c r="AB140" s="1"/>
      <c r="AC140" s="890" t="str">
        <f t="shared" si="136"/>
        <v/>
      </c>
      <c r="AD140" s="890" t="str">
        <f>IF(OR(AND(p_gv_stop=2,AA140&lt;=$H140,$H140&lt;&gt;"",AA140&lt;&gt;""),AND(p_gv_stop=1,AA140&lt;$H140,$H140&lt;&gt;"",AA140&lt;&gt;"")),1,"")</f>
        <v/>
      </c>
      <c r="AE140" s="706"/>
      <c r="AF140" s="587" t="str">
        <f>IF(AND(code5&lt;&gt;"",'I3'!$AA$30&lt;&gt;""),'I3'!$AA$30,"")</f>
        <v/>
      </c>
      <c r="AG140" s="1"/>
      <c r="AH140" s="890" t="str">
        <f t="shared" si="137"/>
        <v/>
      </c>
      <c r="AI140" s="890" t="str">
        <f>IF(OR(AND(p_gv_stop=2,AF140&lt;=$H140,$H140&lt;&gt;"",AF140&lt;&gt;""),AND(p_gv_stop=1,AF140&lt;$H140,$H140&lt;&gt;"",AF140&lt;&gt;"")),1,"")</f>
        <v/>
      </c>
      <c r="AJ140" s="706"/>
      <c r="AK140" s="900">
        <f>MAX($H140,$L140,$Q140,$V140,$AA140,$AF140)</f>
        <v>0</v>
      </c>
      <c r="AL140" s="31"/>
      <c r="AM140" s="29"/>
      <c r="AN140" s="29"/>
      <c r="AO140" s="29"/>
      <c r="AP140" s="29"/>
    </row>
    <row r="141" spans="2:42" ht="15" customHeight="1">
      <c r="B141" s="33"/>
      <c r="C141" s="29"/>
      <c r="D141" s="47" t="s">
        <v>36</v>
      </c>
      <c r="F141" s="190" t="str">
        <f>F$106</f>
        <v/>
      </c>
      <c r="G141" s="190"/>
      <c r="H141" s="587" t="str">
        <f>IF(AND(code0&lt;&gt;"",'I3'!$H$30&lt;&gt;""),'I3'!$H$30,"")</f>
        <v/>
      </c>
      <c r="I141" s="1"/>
      <c r="J141" s="890" t="str">
        <f t="shared" si="132"/>
        <v/>
      </c>
      <c r="K141" s="702"/>
      <c r="L141" s="587" t="str">
        <f>IF(AND(code1&lt;&gt;"",'I3'!$L$30&lt;&gt;""),'I3'!$L$30,"")</f>
        <v/>
      </c>
      <c r="M141" s="1"/>
      <c r="N141" s="890" t="str">
        <f t="shared" si="133"/>
        <v/>
      </c>
      <c r="O141" s="894" t="str">
        <f>IF(OR(AND(p_gv_stop=2,L141&lt;=$H141,$H141&lt;&gt;"",L141&lt;&gt;""),AND(p_gv_stop=1,L141&lt;$H141,$H141&lt;&gt;"",L141&lt;&gt;"")),1,"")</f>
        <v/>
      </c>
      <c r="P141" s="702"/>
      <c r="Q141" s="587" t="str">
        <f>IF(AND(code2&lt;&gt;"",'I3'!$P$30&lt;&gt;""),'I3'!$P$30,"")</f>
        <v/>
      </c>
      <c r="R141" s="1"/>
      <c r="S141" s="890" t="str">
        <f t="shared" si="134"/>
        <v/>
      </c>
      <c r="T141" s="894" t="str">
        <f>IF(OR(AND(p_gv_stop=2,Q141&lt;=$H141,$H141&lt;&gt;"",Q141&lt;&gt;""),AND(p_gv_stop=1,Q141&lt;$H141,$H141&lt;&gt;"",Q141&lt;&gt;"")),1,"")</f>
        <v/>
      </c>
      <c r="U141" s="702"/>
      <c r="V141" s="587" t="str">
        <f>IF(AND(code3&lt;&gt;"",'I3'!$T$30&lt;&gt;""),'I3'!$T$30,"")</f>
        <v/>
      </c>
      <c r="W141" s="1"/>
      <c r="X141" s="890" t="str">
        <f t="shared" si="135"/>
        <v/>
      </c>
      <c r="Y141" s="894" t="str">
        <f>IF(OR(AND(p_gv_stop=2,V141&lt;=$H141,$H141&lt;&gt;"",V141&lt;&gt;""),AND(p_gv_stop=1,V141&lt;$H141,$H141&lt;&gt;"",V141&lt;&gt;"")),1,"")</f>
        <v/>
      </c>
      <c r="Z141" s="702"/>
      <c r="AA141" s="587" t="str">
        <f>IF(AND(code4&lt;&gt;"",'I3'!$W$30&lt;&gt;""),'I3'!$W$30,"")</f>
        <v/>
      </c>
      <c r="AB141" s="1"/>
      <c r="AC141" s="890" t="str">
        <f t="shared" si="136"/>
        <v/>
      </c>
      <c r="AD141" s="894" t="str">
        <f>IF(OR(AND(p_gv_stop=2,AA141&lt;=$H141,$H141&lt;&gt;"",AA141&lt;&gt;""),AND(p_gv_stop=1,AA141&lt;$H141,$H141&lt;&gt;"",AA141&lt;&gt;"")),1,"")</f>
        <v/>
      </c>
      <c r="AE141" s="702"/>
      <c r="AF141" s="587" t="str">
        <f>IF(AND(code5&lt;&gt;"",'I3'!$AB$30&lt;&gt;""),'I3'!$AB$30,"")</f>
        <v/>
      </c>
      <c r="AG141" s="1"/>
      <c r="AH141" s="890" t="str">
        <f t="shared" si="137"/>
        <v/>
      </c>
      <c r="AI141" s="894" t="str">
        <f>IF(OR(AND(p_gv_stop=2,AF141&lt;=$H141,$H141&lt;&gt;"",AF141&lt;&gt;""),AND(p_gv_stop=1,AF141&lt;$H141,$H141&lt;&gt;"",AF141&lt;&gt;"")),1,"")</f>
        <v/>
      </c>
      <c r="AJ141" s="702"/>
      <c r="AK141" s="900">
        <f>MAX($H141,$L141,$Q141,$V141,$AA141,$AF141)</f>
        <v>0</v>
      </c>
      <c r="AL141" s="31"/>
      <c r="AM141" s="29"/>
      <c r="AN141" s="29"/>
      <c r="AO141" s="29"/>
      <c r="AP141" s="29"/>
    </row>
    <row r="142" spans="2:42" ht="15" customHeight="1">
      <c r="B142" s="33"/>
      <c r="C142" s="59"/>
      <c r="D142" s="85" t="s">
        <v>17</v>
      </c>
      <c r="E142" s="59"/>
      <c r="F142" s="294" t="str">
        <f>F$107</f>
        <v/>
      </c>
      <c r="G142" s="190"/>
      <c r="H142" s="590" t="str">
        <f>IF(AND(code0&lt;&gt;"",'I3'!$I$30&lt;&gt;""),'I3'!$I$30,"")</f>
        <v/>
      </c>
      <c r="I142" s="1"/>
      <c r="J142" s="892" t="str">
        <f t="shared" ref="J142" si="138">IF(H142=$AK142,1,"")</f>
        <v/>
      </c>
      <c r="K142" s="703"/>
      <c r="L142" s="589" t="str">
        <f>IF(AND(code1&lt;&gt;"",'I3'!$M$30&lt;&gt;""),'I3'!$M$30,"")</f>
        <v/>
      </c>
      <c r="M142" s="1"/>
      <c r="N142" s="892" t="str">
        <f t="shared" ref="N142" si="139">IF(L142=$AK142,1,"")</f>
        <v/>
      </c>
      <c r="O142" s="895" t="str">
        <f>IF(OR(AND(p_gv_stop=2,L142&gt;=$H142,$H142&lt;&gt;"",L142&lt;&gt;""),AND(p_gv_stop=1,L142&gt;$H142,$H142&lt;&gt;"",L142&lt;&gt;"")),1,"")</f>
        <v/>
      </c>
      <c r="P142" s="703"/>
      <c r="Q142" s="589" t="str">
        <f>IF(AND(code2&lt;&gt;"",'I3'!$Q$30&lt;&gt;""),'I3'!$Q$30,"")</f>
        <v/>
      </c>
      <c r="R142" s="1"/>
      <c r="S142" s="892" t="str">
        <f t="shared" ref="S142" si="140">IF(Q142=$AK142,1,"")</f>
        <v/>
      </c>
      <c r="T142" s="895" t="str">
        <f>IF(OR(AND(p_gv_stop=2,Q142&gt;=$H142,$H142&lt;&gt;"",Q142&lt;&gt;""),AND(p_gv_stop=1,Q142&gt;$H142,$H142&lt;&gt;"",Q142&lt;&gt;"")),1,"")</f>
        <v/>
      </c>
      <c r="U142" s="703"/>
      <c r="V142" s="589" t="str">
        <f>IF(AND(code3&lt;&gt;"",'I3'!$U$30&lt;&gt;""),'I3'!$U$30,"")</f>
        <v/>
      </c>
      <c r="W142" s="1"/>
      <c r="X142" s="892" t="str">
        <f t="shared" ref="X142" si="141">IF(V142=$AK142,1,"")</f>
        <v/>
      </c>
      <c r="Y142" s="895" t="str">
        <f>IF(OR(AND(p_gv_stop=2,V142&gt;=$H142,$H142&lt;&gt;"",V142&lt;&gt;""),AND(p_gv_stop=1,V142&gt;$H142,$H142&lt;&gt;"",V142&lt;&gt;"")),1,"")</f>
        <v/>
      </c>
      <c r="Z142" s="703"/>
      <c r="AA142" s="589" t="str">
        <f>IF(AND(code4&lt;&gt;"",'I3'!$X$30&lt;&gt;""),'I3'!$X$30,"")</f>
        <v/>
      </c>
      <c r="AB142" s="1"/>
      <c r="AC142" s="892" t="str">
        <f t="shared" ref="AC142" si="142">IF(AA142=$AK142,1,"")</f>
        <v/>
      </c>
      <c r="AD142" s="895" t="str">
        <f>IF(OR(AND(p_gv_stop=2,AA142&gt;=$H142,$H142&lt;&gt;"",AA142&lt;&gt;""),AND(p_gv_stop=1,AA142&gt;$H142,$H142&lt;&gt;"",AA142&lt;&gt;"")),1,"")</f>
        <v/>
      </c>
      <c r="AE142" s="703"/>
      <c r="AF142" s="589" t="str">
        <f>IF(AND(code5&lt;&gt;"",'I3'!$AC$30&lt;&gt;""),'I3'!$AC$30,"")</f>
        <v/>
      </c>
      <c r="AG142" s="1"/>
      <c r="AH142" s="890" t="str">
        <f t="shared" ref="AH142" si="143">IF(AF142=$AK142,1,"")</f>
        <v/>
      </c>
      <c r="AI142" s="894" t="str">
        <f>IF(OR(AND(p_gv_stop=2,AF142&gt;=$H142,$H142&lt;&gt;"",AF142&lt;&gt;""),AND(p_gv_stop=1,AF142&gt;$H142,$H142&lt;&gt;"",AF142&lt;&gt;"")),1,"")</f>
        <v/>
      </c>
      <c r="AJ142" s="702"/>
      <c r="AK142" s="900">
        <f>MIN($H142,$L142,$Q142,$V142,$AA142,$AF142)</f>
        <v>0</v>
      </c>
      <c r="AL142" s="31"/>
      <c r="AM142" s="29"/>
      <c r="AN142" s="29"/>
      <c r="AO142" s="29"/>
      <c r="AP142" s="29"/>
    </row>
    <row r="143" spans="2:42" ht="15" customHeight="1">
      <c r="B143" s="33"/>
      <c r="C143" s="49" t="s">
        <v>286</v>
      </c>
      <c r="D143" s="47"/>
      <c r="F143" s="748"/>
      <c r="G143" s="748"/>
      <c r="H143" s="423"/>
      <c r="I143" s="1"/>
      <c r="J143" s="709"/>
      <c r="K143" s="704"/>
      <c r="L143" s="423"/>
      <c r="M143" s="1"/>
      <c r="N143" s="709"/>
      <c r="O143" s="711"/>
      <c r="P143" s="704"/>
      <c r="Q143" s="423"/>
      <c r="R143" s="1"/>
      <c r="S143" s="709"/>
      <c r="T143" s="711"/>
      <c r="U143" s="704"/>
      <c r="V143" s="423"/>
      <c r="W143" s="1"/>
      <c r="X143" s="709"/>
      <c r="Y143" s="711"/>
      <c r="Z143" s="704"/>
      <c r="AA143" s="423"/>
      <c r="AB143" s="1"/>
      <c r="AC143" s="709"/>
      <c r="AD143" s="711"/>
      <c r="AE143" s="704"/>
      <c r="AF143" s="421"/>
      <c r="AG143" s="1"/>
      <c r="AH143" s="709"/>
      <c r="AI143" s="711"/>
      <c r="AJ143" s="704"/>
      <c r="AK143" s="704"/>
      <c r="AL143" s="31"/>
      <c r="AM143" s="29"/>
      <c r="AN143" s="29"/>
      <c r="AO143" s="29"/>
      <c r="AP143" s="29"/>
    </row>
    <row r="144" spans="2:42" ht="15" customHeight="1">
      <c r="B144" s="33"/>
      <c r="C144" s="29"/>
      <c r="D144" s="47" t="s">
        <v>258</v>
      </c>
      <c r="F144" s="182" t="s">
        <v>293</v>
      </c>
      <c r="G144" s="182"/>
      <c r="H144" s="587" t="str">
        <f>IF(code0="","",'I1'!F45)</f>
        <v/>
      </c>
      <c r="I144" s="1"/>
      <c r="J144" s="890" t="str">
        <f t="shared" ref="J144:J146" si="144">IF(AND(H144&gt;0,H144=$AK144),1,"")</f>
        <v/>
      </c>
      <c r="K144" s="891" t="str">
        <f>IF(AND(H144&gt;0,H144&lt;standard_place),1,"")</f>
        <v/>
      </c>
      <c r="L144" s="587" t="str">
        <f>IF(code1="","",'I1'!H45)</f>
        <v/>
      </c>
      <c r="M144" s="1"/>
      <c r="N144" s="890" t="str">
        <f t="shared" ref="N144:N146" si="145">IF(AND(L144&gt;0,L144=$AK144),1,"")</f>
        <v/>
      </c>
      <c r="O144" s="894" t="str">
        <f>IF(AND($H144&lt;&gt;"",L144&lt;&gt;"",OR(AND(MAX(p_peds_stroll,p_peds_sit,p_peds_cafe)=2,L144&lt;=$H144),AND(MAX(p_peds_stroll,p_peds_sit,p_peds_cafe)=1,L144&lt;$H144),AND(p_place=TRUE,L144&lt;=$H144))),1,"")</f>
        <v/>
      </c>
      <c r="P144" s="891" t="str">
        <f>IF(AND(L144&gt;0,L144&lt;standard_place),1,"")</f>
        <v/>
      </c>
      <c r="Q144" s="587" t="str">
        <f>IF(code2="","",'I1'!J45)</f>
        <v/>
      </c>
      <c r="R144" s="1"/>
      <c r="S144" s="890" t="str">
        <f t="shared" ref="S144:S146" si="146">IF(AND(Q144&gt;0,Q144=$AK144),1,"")</f>
        <v/>
      </c>
      <c r="T144" s="894" t="str">
        <f>IF(AND($H144&lt;&gt;"",Q144&lt;&gt;"",OR(AND(MAX(p_peds_stroll,p_peds_sit,p_peds_cafe)=2,Q144&lt;=$H144),AND(MAX(p_peds_stroll,p_peds_sit,p_peds_cafe)=1,Q144&lt;$H144),AND(p_place=TRUE,Q144&lt;=$H144))),1,"")</f>
        <v/>
      </c>
      <c r="U144" s="891" t="str">
        <f>IF(AND(Q144&gt;0,Q144&lt;standard_place),1,"")</f>
        <v/>
      </c>
      <c r="V144" s="587" t="str">
        <f>IF(code3="","",'I1'!L45)</f>
        <v/>
      </c>
      <c r="W144" s="1"/>
      <c r="X144" s="890" t="str">
        <f t="shared" ref="X144:X146" si="147">IF(AND(V144&gt;0,V144=$AK144),1,"")</f>
        <v/>
      </c>
      <c r="Y144" s="894" t="str">
        <f>IF(AND($H144&lt;&gt;"",V144&lt;&gt;"",OR(AND(MAX(p_peds_stroll,p_peds_sit,p_peds_cafe)=2,V144&lt;=$H144),AND(MAX(p_peds_stroll,p_peds_sit,p_peds_cafe)=1,V144&lt;$H144),AND(p_place=TRUE,V144&lt;=$H144))),1,"")</f>
        <v/>
      </c>
      <c r="Z144" s="891" t="str">
        <f>IF(AND(V144&gt;0,V144&lt;standard_place),1,"")</f>
        <v/>
      </c>
      <c r="AA144" s="587" t="str">
        <f>IF(code4="","",'I1'!N45)</f>
        <v/>
      </c>
      <c r="AB144" s="1"/>
      <c r="AC144" s="890" t="str">
        <f t="shared" ref="AC144:AC146" si="148">IF(AND(AA144&gt;0,AA144=$AK144),1,"")</f>
        <v/>
      </c>
      <c r="AD144" s="894" t="str">
        <f>IF(AND($H144&lt;&gt;"",AA144&lt;&gt;"",OR(AND(MAX(p_peds_stroll,p_peds_sit,p_peds_cafe)=2,AA144&lt;=$H144),AND(MAX(p_peds_stroll,p_peds_sit,p_peds_cafe)=1,AA144&lt;$H144),AND(p_place=TRUE,AA144&lt;=$H144))),1,"")</f>
        <v/>
      </c>
      <c r="AE144" s="891" t="str">
        <f>IF(AND(AA144&gt;0,AA144&lt;standard_place),1,"")</f>
        <v/>
      </c>
      <c r="AF144" s="587" t="str">
        <f>IF(code5="","",'I1'!P45)</f>
        <v/>
      </c>
      <c r="AG144" s="1"/>
      <c r="AH144" s="890" t="str">
        <f t="shared" ref="AH144:AH146" si="149">IF(AND(AF144&gt;0,AF144=$AK144),1,"")</f>
        <v/>
      </c>
      <c r="AI144" s="894" t="str">
        <f>IF(AND($H144&lt;&gt;"",AF144&lt;&gt;"",OR(AND(MAX(p_peds_stroll,p_peds_sit,p_peds_cafe)=2,AF144&lt;=$H144),AND(MAX(p_peds_stroll,p_peds_sit,p_peds_cafe)=1,AF144&lt;$H144),AND(p_place=TRUE,AF144&lt;=$H144))),1,"")</f>
        <v/>
      </c>
      <c r="AJ144" s="891" t="str">
        <f>IF(AND(AF144&gt;0,AF144&lt;standard_place),1,"")</f>
        <v/>
      </c>
      <c r="AK144" s="900">
        <f>MAX($H144,$L144,$Q144,$V144,$AA144,$AF144)</f>
        <v>0</v>
      </c>
      <c r="AL144" s="31"/>
      <c r="AM144" s="29"/>
      <c r="AN144" s="29"/>
      <c r="AO144" s="29"/>
      <c r="AP144" s="29"/>
    </row>
    <row r="145" spans="2:42" ht="15" customHeight="1">
      <c r="B145" s="33"/>
      <c r="C145" s="29"/>
      <c r="D145" s="47" t="s">
        <v>110</v>
      </c>
      <c r="F145" s="190" t="str">
        <f>IF('I3'!G41="","",'I3'!G41)</f>
        <v/>
      </c>
      <c r="G145" s="190"/>
      <c r="H145" s="588" t="str">
        <f>IF(AND(code0&lt;&gt;"",'I3'!$G$46&lt;&gt;""),'I3'!$G$46,"")</f>
        <v/>
      </c>
      <c r="I145" s="1"/>
      <c r="J145" s="890" t="str">
        <f t="shared" si="144"/>
        <v/>
      </c>
      <c r="K145" s="706"/>
      <c r="L145" s="587" t="str">
        <f>IF(AND(code1&lt;&gt;"",'I3'!$K$46&lt;&gt;""),'I3'!$K$46,"")</f>
        <v/>
      </c>
      <c r="M145" s="1"/>
      <c r="N145" s="890" t="str">
        <f t="shared" si="145"/>
        <v/>
      </c>
      <c r="O145" s="890" t="str">
        <f>IF(OR(AND(MAX(p_peds_stroll,p_peds_sit, p_peds_cafe)=2,L145&lt;=$H145,$H145&lt;&gt;"",L145&lt;&gt;""),AND(MAX(p_peds_stroll,p_peds_sit, p_peds_cafe)=1,L145&lt;$H145,$H145&lt;&gt;"",L145&lt;&gt;"")),1,"")</f>
        <v/>
      </c>
      <c r="P145" s="706"/>
      <c r="Q145" s="587" t="str">
        <f>IF(AND(code2&lt;&gt;"",'I3'!$O$46&lt;&gt;""),'I3'!$O$46,"")</f>
        <v/>
      </c>
      <c r="R145" s="1"/>
      <c r="S145" s="890" t="str">
        <f t="shared" si="146"/>
        <v/>
      </c>
      <c r="T145" s="890" t="str">
        <f>IF(OR(AND(MAX(p_peds_stroll,p_peds_sit, p_peds_cafe)=2,Q145&lt;=$H145,$H145&lt;&gt;"",Q145&lt;&gt;""),AND(MAX(p_peds_stroll,p_peds_sit, p_peds_cafe)=1,Q145&lt;$H145,$H145&lt;&gt;"",Q145&lt;&gt;"")),1,"")</f>
        <v/>
      </c>
      <c r="U145" s="706"/>
      <c r="V145" s="587" t="str">
        <f>IF(AND(code3&lt;&gt;"",'I3'!$S$46&lt;&gt;""),'I3'!$S$46,"")</f>
        <v/>
      </c>
      <c r="W145" s="1"/>
      <c r="X145" s="890" t="str">
        <f t="shared" si="147"/>
        <v/>
      </c>
      <c r="Y145" s="890" t="str">
        <f>IF(OR(AND(MAX(p_peds_stroll,p_peds_sit, p_peds_cafe)=2,V145&lt;=$H145,$H145&lt;&gt;"",V145&lt;&gt;""),AND(MAX(p_peds_stroll,p_peds_sit, p_peds_cafe)=1,V145&lt;$H145,$H145&lt;&gt;"",V145&lt;&gt;"")),1,"")</f>
        <v/>
      </c>
      <c r="Z145" s="706"/>
      <c r="AA145" s="587" t="str">
        <f>IF(AND(code4&lt;&gt;"",'I3'!$V$46&lt;&gt;""),'I3'!$V$46,"")</f>
        <v/>
      </c>
      <c r="AB145" s="1"/>
      <c r="AC145" s="890" t="str">
        <f t="shared" si="148"/>
        <v/>
      </c>
      <c r="AD145" s="890" t="str">
        <f>IF(OR(AND(MAX(p_peds_stroll,p_peds_sit, p_peds_cafe)=2,AA145&lt;=$H145,$H145&lt;&gt;"",AA145&lt;&gt;""),AND(MAX(p_peds_stroll,p_peds_sit, p_peds_cafe)=1,AA145&lt;$H145,$H145&lt;&gt;"",AA145&lt;&gt;"")),1,"")</f>
        <v/>
      </c>
      <c r="AE145" s="706"/>
      <c r="AF145" s="587" t="str">
        <f>IF(AND(code5&lt;&gt;"",'I3'!$AA$46&lt;&gt;""),'I3'!$AA$46,"")</f>
        <v/>
      </c>
      <c r="AG145" s="1"/>
      <c r="AH145" s="890" t="str">
        <f t="shared" si="149"/>
        <v/>
      </c>
      <c r="AI145" s="890" t="str">
        <f>IF(OR(AND(MAX(p_peds_stroll,p_peds_sit, p_peds_cafe)=2,AF145&lt;=$H145,$H145&lt;&gt;"",AF145&lt;&gt;""),AND(MAX(p_peds_stroll,p_peds_sit, p_peds_cafe)=1,AF145&lt;$H145,$H145&lt;&gt;"",AF145&lt;&gt;"")),1,"")</f>
        <v/>
      </c>
      <c r="AJ145" s="706"/>
      <c r="AK145" s="900">
        <f>MAX($H145,$L145,$Q145,$V145,$AA145,$AF145)</f>
        <v>0</v>
      </c>
      <c r="AL145" s="31"/>
      <c r="AM145" s="29"/>
      <c r="AN145" s="29"/>
      <c r="AO145" s="29"/>
      <c r="AP145" s="29"/>
    </row>
    <row r="146" spans="2:42" ht="15" customHeight="1">
      <c r="B146" s="33"/>
      <c r="C146" s="29"/>
      <c r="D146" s="47" t="s">
        <v>36</v>
      </c>
      <c r="F146" s="190" t="str">
        <f>IF('I3'!H41="","",'I3'!H41)</f>
        <v/>
      </c>
      <c r="G146" s="190"/>
      <c r="H146" s="587" t="str">
        <f>IF(AND(code0&lt;&gt;"",'I3'!$H$46&lt;&gt;""),'I3'!$H$46,"")</f>
        <v/>
      </c>
      <c r="I146" s="1"/>
      <c r="J146" s="890" t="str">
        <f t="shared" si="144"/>
        <v/>
      </c>
      <c r="K146" s="702"/>
      <c r="L146" s="587" t="str">
        <f>IF(AND(code1&lt;&gt;"",'I3'!$L$46&lt;&gt;""),'I3'!$L$46,"")</f>
        <v/>
      </c>
      <c r="M146" s="1"/>
      <c r="N146" s="890" t="str">
        <f t="shared" si="145"/>
        <v/>
      </c>
      <c r="O146" s="894" t="str">
        <f>IF(OR(AND(MAX(p_peds_stroll,p_peds_sit, p_peds_cafe)=2,L146&lt;=$H146,$H146&lt;&gt;"",L146&lt;&gt;""),AND(MAX(p_peds_stroll,p_peds_sit, p_peds_cafe)=1,L146&lt;$H146,$H146&lt;&gt;"",L146&lt;&gt;"")),1,"")</f>
        <v/>
      </c>
      <c r="P146" s="702"/>
      <c r="Q146" s="587" t="str">
        <f>IF(AND(code2&lt;&gt;"",'I3'!$P$46&lt;&gt;""),'I3'!$P$46,"")</f>
        <v/>
      </c>
      <c r="R146" s="1"/>
      <c r="S146" s="890" t="str">
        <f t="shared" si="146"/>
        <v/>
      </c>
      <c r="T146" s="894" t="str">
        <f>IF(OR(AND(MAX(p_peds_stroll,p_peds_sit, p_peds_cafe)=2,Q146&lt;=$H146,$H146&lt;&gt;"",Q146&lt;&gt;""),AND(MAX(p_peds_stroll,p_peds_sit, p_peds_cafe)=1,Q146&lt;$H146,$H146&lt;&gt;"",Q146&lt;&gt;"")),1,"")</f>
        <v/>
      </c>
      <c r="U146" s="702"/>
      <c r="V146" s="587" t="str">
        <f>IF(AND(code3&lt;&gt;"",'I3'!$T$46&lt;&gt;""),'I3'!$T$46,"")</f>
        <v/>
      </c>
      <c r="W146" s="1"/>
      <c r="X146" s="890" t="str">
        <f t="shared" si="147"/>
        <v/>
      </c>
      <c r="Y146" s="894" t="str">
        <f>IF(OR(AND(MAX(p_peds_stroll,p_peds_sit, p_peds_cafe)=2,V146&lt;=$H146,$H146&lt;&gt;"",V146&lt;&gt;""),AND(MAX(p_peds_stroll,p_peds_sit, p_peds_cafe)=1,V146&lt;$H146,$H146&lt;&gt;"",V146&lt;&gt;"")),1,"")</f>
        <v/>
      </c>
      <c r="Z146" s="702"/>
      <c r="AA146" s="587" t="str">
        <f>IF(AND(code4&lt;&gt;"",'I3'!$W$46&lt;&gt;""),'I3'!$W$46,"")</f>
        <v/>
      </c>
      <c r="AB146" s="1"/>
      <c r="AC146" s="890" t="str">
        <f t="shared" si="148"/>
        <v/>
      </c>
      <c r="AD146" s="894" t="str">
        <f>IF(OR(AND(MAX(p_peds_stroll,p_peds_sit, p_peds_cafe)=2,AA146&lt;=$H146,$H146&lt;&gt;"",AA146&lt;&gt;""),AND(MAX(p_peds_stroll,p_peds_sit, p_peds_cafe)=1,AA146&lt;$H146,$H146&lt;&gt;"",AA146&lt;&gt;"")),1,"")</f>
        <v/>
      </c>
      <c r="AE146" s="702"/>
      <c r="AF146" s="587" t="str">
        <f>IF(AND(code5&lt;&gt;"",'I3'!$AB$46&lt;&gt;""),'I3'!$AB$46,"")</f>
        <v/>
      </c>
      <c r="AG146" s="1"/>
      <c r="AH146" s="890" t="str">
        <f t="shared" si="149"/>
        <v/>
      </c>
      <c r="AI146" s="894" t="str">
        <f>IF(OR(AND(MAX(p_peds_stroll,p_peds_sit, p_peds_cafe)=2,AF146&lt;=$H146,$H146&lt;&gt;"",AF146&lt;&gt;""),AND(MAX(p_peds_stroll,p_peds_sit, p_peds_cafe)=1,AF146&lt;$H146,$H146&lt;&gt;"",AF146&lt;&gt;"")),1,"")</f>
        <v/>
      </c>
      <c r="AJ146" s="702"/>
      <c r="AK146" s="900">
        <f>MAX($H146,$L146,$Q146,$V146,$AA146,$AF146)</f>
        <v>0</v>
      </c>
      <c r="AL146" s="31"/>
      <c r="AM146" s="29"/>
      <c r="AN146" s="29"/>
      <c r="AO146" s="29"/>
      <c r="AP146" s="29"/>
    </row>
    <row r="147" spans="2:42" ht="15" customHeight="1">
      <c r="B147" s="33"/>
      <c r="C147" s="59"/>
      <c r="D147" s="85" t="s">
        <v>17</v>
      </c>
      <c r="E147" s="59"/>
      <c r="F147" s="294" t="str">
        <f>IF('I3'!I41="","",'I3'!I41)</f>
        <v/>
      </c>
      <c r="G147" s="190"/>
      <c r="H147" s="590" t="str">
        <f>IF(AND(code0&lt;&gt;"",'I3'!$I$46&lt;&gt;""),'I3'!$I$46,"")</f>
        <v/>
      </c>
      <c r="I147" s="1"/>
      <c r="J147" s="892" t="str">
        <f t="shared" ref="J147" si="150">IF(H147=$AK147,1,"")</f>
        <v/>
      </c>
      <c r="K147" s="703"/>
      <c r="L147" s="589" t="str">
        <f>IF(AND(code1&lt;&gt;"",'I3'!$M$46&lt;&gt;""),'I3'!$M$46,"")</f>
        <v/>
      </c>
      <c r="M147" s="1"/>
      <c r="N147" s="892" t="str">
        <f t="shared" ref="N147" si="151">IF(L147=$AK147,1,"")</f>
        <v/>
      </c>
      <c r="O147" s="895" t="str">
        <f>IF(OR(AND(MAX(p_peds_stroll,p_peds_sit, p_peds_cafe)=2,L147&gt;=$H147,$H147&lt;&gt;"",L147&lt;&gt;""),AND(MAX(p_peds_stroll,p_peds_sit, p_peds_cafe)=1,L147&gt;$H147,$H147&lt;&gt;"",L147&lt;&gt;"")),1,"")</f>
        <v/>
      </c>
      <c r="P147" s="703"/>
      <c r="Q147" s="589" t="str">
        <f>IF(AND(code2&lt;&gt;"",'I3'!$Q$46&lt;&gt;""),'I3'!$Q$46,"")</f>
        <v/>
      </c>
      <c r="R147" s="1"/>
      <c r="S147" s="892" t="str">
        <f t="shared" ref="S147" si="152">IF(Q147=$AK147,1,"")</f>
        <v/>
      </c>
      <c r="T147" s="895" t="str">
        <f>IF(OR(AND(MAX(p_peds_stroll,p_peds_sit, p_peds_cafe)=2,Q147&gt;=$H147,$H147&lt;&gt;"",Q147&lt;&gt;""),AND(MAX(p_peds_stroll,p_peds_sit, p_peds_cafe)=1,Q147&gt;$H147,$H147&lt;&gt;"",Q147&lt;&gt;"")),1,"")</f>
        <v/>
      </c>
      <c r="U147" s="703"/>
      <c r="V147" s="589" t="str">
        <f>IF(AND(code3&lt;&gt;"",'I3'!$U$46&lt;&gt;""),'I3'!$U$46,"")</f>
        <v/>
      </c>
      <c r="W147" s="1"/>
      <c r="X147" s="892" t="str">
        <f t="shared" ref="X147" si="153">IF(V147=$AK147,1,"")</f>
        <v/>
      </c>
      <c r="Y147" s="895" t="str">
        <f>IF(OR(AND(MAX(p_peds_stroll,p_peds_sit, p_peds_cafe)=2,V147&gt;=$H147,$H147&lt;&gt;"",V147&lt;&gt;""),AND(MAX(p_peds_stroll,p_peds_sit, p_peds_cafe)=1,V147&gt;$H147,$H147&lt;&gt;"",V147&lt;&gt;"")),1,"")</f>
        <v/>
      </c>
      <c r="Z147" s="703"/>
      <c r="AA147" s="589" t="str">
        <f>IF(AND(code4&lt;&gt;"",'I3'!$X$46&lt;&gt;""),'I3'!$X$46,"")</f>
        <v/>
      </c>
      <c r="AB147" s="1"/>
      <c r="AC147" s="892" t="str">
        <f t="shared" ref="AC147" si="154">IF(AA147=$AK147,1,"")</f>
        <v/>
      </c>
      <c r="AD147" s="895" t="str">
        <f>IF(OR(AND(MAX(p_peds_stroll,p_peds_sit, p_peds_cafe)=2,AA147&gt;=$H147,$H147&lt;&gt;"",AA147&lt;&gt;""),AND(MAX(p_peds_stroll,p_peds_sit, p_peds_cafe)=1,AA147&gt;$H147,$H147&lt;&gt;"",AA147&lt;&gt;"")),1,"")</f>
        <v/>
      </c>
      <c r="AE147" s="703"/>
      <c r="AF147" s="589" t="str">
        <f>IF(AND(code5&lt;&gt;"",'I3'!$AC$46&lt;&gt;""),'I3'!$AC$46,"")</f>
        <v/>
      </c>
      <c r="AG147" s="1"/>
      <c r="AH147" s="890" t="str">
        <f t="shared" ref="AH147" si="155">IF(AF147=$AK147,1,"")</f>
        <v/>
      </c>
      <c r="AI147" s="894" t="str">
        <f>IF(OR(AND(MAX(p_peds_stroll,p_peds_sit, p_peds_cafe)=2,AF147&gt;=$H147,$H147&lt;&gt;"",AF147&lt;&gt;""),AND(MAX(p_peds_stroll,p_peds_sit, p_peds_cafe)=1,AF147&gt;$H147,$H147&lt;&gt;"",AF147&lt;&gt;"")),1,"")</f>
        <v/>
      </c>
      <c r="AJ147" s="702"/>
      <c r="AK147" s="900">
        <f>MIN($H147,$L147,$Q147,$V147,$AA147,$AF147)</f>
        <v>0</v>
      </c>
      <c r="AL147" s="31"/>
      <c r="AM147" s="29"/>
      <c r="AN147" s="29"/>
      <c r="AO147" s="29"/>
      <c r="AP147" s="29"/>
    </row>
    <row r="148" spans="2:42" ht="15" customHeight="1">
      <c r="B148" s="33"/>
      <c r="C148" s="49" t="s">
        <v>263</v>
      </c>
      <c r="D148" s="47"/>
      <c r="F148" s="748"/>
      <c r="G148" s="748"/>
      <c r="H148" s="423"/>
      <c r="I148" s="1"/>
      <c r="J148" s="709"/>
      <c r="K148" s="704"/>
      <c r="L148" s="423"/>
      <c r="M148" s="1"/>
      <c r="N148" s="709"/>
      <c r="O148" s="711"/>
      <c r="P148" s="704"/>
      <c r="Q148" s="423"/>
      <c r="R148" s="1"/>
      <c r="S148" s="709"/>
      <c r="T148" s="711"/>
      <c r="U148" s="704"/>
      <c r="V148" s="423"/>
      <c r="W148" s="1"/>
      <c r="X148" s="709"/>
      <c r="Y148" s="711"/>
      <c r="Z148" s="704"/>
      <c r="AA148" s="423"/>
      <c r="AB148" s="1"/>
      <c r="AC148" s="709"/>
      <c r="AD148" s="711"/>
      <c r="AE148" s="704"/>
      <c r="AF148" s="421"/>
      <c r="AG148" s="1"/>
      <c r="AH148" s="709"/>
      <c r="AI148" s="711"/>
      <c r="AJ148" s="704"/>
      <c r="AK148" s="704"/>
      <c r="AL148" s="31"/>
      <c r="AM148" s="29"/>
      <c r="AN148" s="29"/>
      <c r="AO148" s="29"/>
      <c r="AP148" s="29"/>
    </row>
    <row r="149" spans="2:42" ht="15" customHeight="1">
      <c r="B149" s="33"/>
      <c r="C149" s="29"/>
      <c r="D149" s="47" t="s">
        <v>258</v>
      </c>
      <c r="F149" s="182" t="s">
        <v>293</v>
      </c>
      <c r="G149" s="182"/>
      <c r="H149" s="587" t="str">
        <f>IF(code0="","",'I1'!F45)</f>
        <v/>
      </c>
      <c r="I149" s="1"/>
      <c r="J149" s="890" t="str">
        <f t="shared" ref="J149:J151" si="156">IF(AND(H149&gt;0,H149=$AK149),1,"")</f>
        <v/>
      </c>
      <c r="K149" s="891" t="str">
        <f>IF(AND(H149&gt;0,H149&lt;standard_place),1,"")</f>
        <v/>
      </c>
      <c r="L149" s="587" t="str">
        <f>IF(code1="","",'I1'!H45)</f>
        <v/>
      </c>
      <c r="M149" s="1"/>
      <c r="N149" s="890" t="str">
        <f t="shared" ref="N149:N151" si="157">IF(AND(L149&gt;0,L149=$AK149),1,"")</f>
        <v/>
      </c>
      <c r="O149" s="894" t="str">
        <f>IF(AND($H149&lt;&gt;"",L149&lt;&gt;"",OR(AND(p_peds_stroll=2,L149&lt;=$H149),AND(p_peds_stroll=1,L149&lt;$H149),AND(p_place=TRUE,L149&lt;=$H149))),1,"")</f>
        <v/>
      </c>
      <c r="P149" s="891" t="str">
        <f>IF(AND(L149&gt;0,L149&lt;standard_place),1,"")</f>
        <v/>
      </c>
      <c r="Q149" s="587" t="str">
        <f>IF(code2="","",'I1'!J45)</f>
        <v/>
      </c>
      <c r="R149" s="1"/>
      <c r="S149" s="890" t="str">
        <f t="shared" ref="S149:S151" si="158">IF(AND(Q149&gt;0,Q149=$AK149),1,"")</f>
        <v/>
      </c>
      <c r="T149" s="894" t="str">
        <f>IF(AND($H149&lt;&gt;"",Q149&lt;&gt;"",OR(AND(p_peds_stroll=2,Q149&lt;=$H149),AND(p_peds_stroll=1,Q149&lt;$H149),AND(p_place=TRUE,Q149&lt;=$H149))),1,"")</f>
        <v/>
      </c>
      <c r="U149" s="891" t="str">
        <f>IF(AND(Q149&gt;0,Q149&lt;standard_place),1,"")</f>
        <v/>
      </c>
      <c r="V149" s="587" t="str">
        <f>IF(code3="","",'I1'!L45)</f>
        <v/>
      </c>
      <c r="W149" s="1"/>
      <c r="X149" s="890" t="str">
        <f t="shared" ref="X149:X151" si="159">IF(AND(V149&gt;0,V149=$AK149),1,"")</f>
        <v/>
      </c>
      <c r="Y149" s="894" t="str">
        <f>IF(AND($H149&lt;&gt;"",V149&lt;&gt;"",OR(AND(p_peds_stroll=2,V149&lt;=$H149),AND(p_peds_stroll=1,V149&lt;$H149),AND(p_place=TRUE,V149&lt;=$H149))),1,"")</f>
        <v/>
      </c>
      <c r="Z149" s="891" t="str">
        <f>IF(AND(V149&gt;0,V149&lt;standard_place),1,"")</f>
        <v/>
      </c>
      <c r="AA149" s="587" t="str">
        <f>IF(code4="","",'I1'!N45)</f>
        <v/>
      </c>
      <c r="AB149" s="1"/>
      <c r="AC149" s="890" t="str">
        <f t="shared" ref="AC149:AC151" si="160">IF(AND(AA149&gt;0,AA149=$AK149),1,"")</f>
        <v/>
      </c>
      <c r="AD149" s="894" t="str">
        <f>IF(AND($H149&lt;&gt;"",AA149&lt;&gt;"",OR(AND(p_peds_stroll=2,AA149&lt;=$H149),AND(p_peds_stroll=1,AA149&lt;$H149),AND(p_place=TRUE,AA149&lt;=$H149))),1,"")</f>
        <v/>
      </c>
      <c r="AE149" s="891" t="str">
        <f>IF(AND(AA149&gt;0,AA149&lt;standard_place),1,"")</f>
        <v/>
      </c>
      <c r="AF149" s="587" t="str">
        <f>IF(code5="","",'I1'!P45)</f>
        <v/>
      </c>
      <c r="AG149" s="1"/>
      <c r="AH149" s="890" t="str">
        <f t="shared" ref="AH149:AH151" si="161">IF(AND(AF149&gt;0,AF149=$AK149),1,"")</f>
        <v/>
      </c>
      <c r="AI149" s="894" t="str">
        <f>IF(AND($H149&lt;&gt;"",AF149&lt;&gt;"",OR(AND(p_peds_stroll=2,AF149&lt;=$H149),AND(p_peds_stroll=1,AF149&lt;$H149),AND(p_place=TRUE,AF149&lt;=$H149))),1,"")</f>
        <v/>
      </c>
      <c r="AJ149" s="891" t="str">
        <f>IF(AND(AF149&gt;0,AF149&lt;standard_place),1,"")</f>
        <v/>
      </c>
      <c r="AK149" s="900">
        <f>MAX($H149,$L149,$Q149,$V149,$AA149,$AF149)</f>
        <v>0</v>
      </c>
      <c r="AL149" s="31"/>
      <c r="AM149" s="29"/>
      <c r="AN149" s="29"/>
      <c r="AO149" s="29"/>
      <c r="AP149" s="29"/>
    </row>
    <row r="150" spans="2:42" ht="15" customHeight="1">
      <c r="B150" s="33"/>
      <c r="C150" s="29"/>
      <c r="D150" s="47" t="s">
        <v>110</v>
      </c>
      <c r="F150" s="190" t="str">
        <f>F$145</f>
        <v/>
      </c>
      <c r="G150" s="190"/>
      <c r="H150" s="588" t="str">
        <f>IF(AND(code0&lt;&gt;"",'I3'!$G$47&lt;&gt;""),'I3'!$G$47,"")</f>
        <v/>
      </c>
      <c r="I150" s="1"/>
      <c r="J150" s="890" t="str">
        <f t="shared" si="156"/>
        <v/>
      </c>
      <c r="K150" s="706"/>
      <c r="L150" s="587" t="str">
        <f>IF(AND(code1&lt;&gt;"",'I3'!$K$47&lt;&gt;""),'I3'!$K$47,"")</f>
        <v/>
      </c>
      <c r="M150" s="1"/>
      <c r="N150" s="890" t="str">
        <f t="shared" si="157"/>
        <v/>
      </c>
      <c r="O150" s="890" t="str">
        <f>IF(OR(AND(p_peds_stroll=2,L150&lt;=$H150,$H150&lt;&gt;"",L150&lt;&gt;""),AND(p_peds_stroll=1,L150&lt;$H150,$H150&lt;&gt;"",L150&lt;&gt;"")),1,"")</f>
        <v/>
      </c>
      <c r="P150" s="706"/>
      <c r="Q150" s="587" t="str">
        <f>IF(AND(code2&lt;&gt;"",'I3'!$O$47&lt;&gt;""),'I3'!$O$47,"")</f>
        <v/>
      </c>
      <c r="R150" s="1"/>
      <c r="S150" s="890" t="str">
        <f t="shared" si="158"/>
        <v/>
      </c>
      <c r="T150" s="890" t="str">
        <f>IF(OR(AND(p_peds_stroll=2,Q150&lt;=$H150,$H150&lt;&gt;"",Q150&lt;&gt;""),AND(p_peds_stroll=1,Q150&lt;$H150,$H150&lt;&gt;"",Q150&lt;&gt;"")),1,"")</f>
        <v/>
      </c>
      <c r="U150" s="706"/>
      <c r="V150" s="587" t="str">
        <f>IF(AND(code3&lt;&gt;"",'I3'!$S$47&lt;&gt;""),'I3'!$S$47,"")</f>
        <v/>
      </c>
      <c r="W150" s="1"/>
      <c r="X150" s="890" t="str">
        <f t="shared" si="159"/>
        <v/>
      </c>
      <c r="Y150" s="890" t="str">
        <f>IF(OR(AND(p_peds_stroll=2,V150&lt;=$H150,$H150&lt;&gt;"",V150&lt;&gt;""),AND(p_peds_stroll=1,V150&lt;$H150,$H150&lt;&gt;"",V150&lt;&gt;"")),1,"")</f>
        <v/>
      </c>
      <c r="Z150" s="706"/>
      <c r="AA150" s="587" t="str">
        <f>IF(AND(code4&lt;&gt;"",'I3'!$V$47&lt;&gt;""),'I3'!$V$47,"")</f>
        <v/>
      </c>
      <c r="AB150" s="1"/>
      <c r="AC150" s="890" t="str">
        <f t="shared" si="160"/>
        <v/>
      </c>
      <c r="AD150" s="890" t="str">
        <f>IF(OR(AND(p_peds_stroll=2,AA150&lt;=$H150,$H150&lt;&gt;"",AA150&lt;&gt;""),AND(p_peds_stroll=1,AA150&lt;$H150,$H150&lt;&gt;"",AA150&lt;&gt;"")),1,"")</f>
        <v/>
      </c>
      <c r="AE150" s="706"/>
      <c r="AF150" s="587" t="str">
        <f>IF(AND(code5&lt;&gt;"",'I3'!$AA$47&lt;&gt;""),'I3'!$AA$47,"")</f>
        <v/>
      </c>
      <c r="AG150" s="1"/>
      <c r="AH150" s="890" t="str">
        <f t="shared" si="161"/>
        <v/>
      </c>
      <c r="AI150" s="890" t="str">
        <f>IF(OR(AND(p_peds_stroll=2,AF150&lt;=$H150,$H150&lt;&gt;"",AF150&lt;&gt;""),AND(p_peds_stroll=1,AF150&lt;$H150,$H150&lt;&gt;"",AF150&lt;&gt;"")),1,"")</f>
        <v/>
      </c>
      <c r="AJ150" s="706"/>
      <c r="AK150" s="900">
        <f>MAX($H150,$L150,$Q150,$V150,$AA150,$AF150)</f>
        <v>0</v>
      </c>
      <c r="AL150" s="31"/>
      <c r="AM150" s="29"/>
      <c r="AN150" s="29"/>
      <c r="AO150" s="29"/>
      <c r="AP150" s="29"/>
    </row>
    <row r="151" spans="2:42" ht="15" customHeight="1">
      <c r="B151" s="33"/>
      <c r="C151" s="29"/>
      <c r="D151" s="47" t="s">
        <v>36</v>
      </c>
      <c r="F151" s="190" t="str">
        <f>F$146</f>
        <v/>
      </c>
      <c r="G151" s="190"/>
      <c r="H151" s="587" t="str">
        <f>IF(AND(code0&lt;&gt;"",'I3'!$H$47&lt;&gt;""),'I3'!$H$47,"")</f>
        <v/>
      </c>
      <c r="I151" s="1"/>
      <c r="J151" s="890" t="str">
        <f t="shared" si="156"/>
        <v/>
      </c>
      <c r="K151" s="702"/>
      <c r="L151" s="587" t="str">
        <f>IF(AND(code1&lt;&gt;"",'I3'!$L$47&lt;&gt;""),'I3'!$L$47,"")</f>
        <v/>
      </c>
      <c r="M151" s="1"/>
      <c r="N151" s="890" t="str">
        <f t="shared" si="157"/>
        <v/>
      </c>
      <c r="O151" s="894" t="str">
        <f>IF(OR(AND(p_peds_stroll=2,L151&lt;=$H151,$H151&lt;&gt;"",L151&lt;&gt;""),AND(p_peds_stroll=1,L151&lt;$H151,$H151&lt;&gt;"",L151&lt;&gt;"")),1,"")</f>
        <v/>
      </c>
      <c r="P151" s="702"/>
      <c r="Q151" s="587" t="str">
        <f>IF(AND(code2&lt;&gt;"",'I3'!$P$47&lt;&gt;""),'I3'!$P$47,"")</f>
        <v/>
      </c>
      <c r="R151" s="1"/>
      <c r="S151" s="890" t="str">
        <f t="shared" si="158"/>
        <v/>
      </c>
      <c r="T151" s="894" t="str">
        <f>IF(OR(AND(p_peds_stroll=2,Q151&lt;=$H151,$H151&lt;&gt;"",Q151&lt;&gt;""),AND(p_peds_stroll=1,Q151&lt;$H151,$H151&lt;&gt;"",Q151&lt;&gt;"")),1,"")</f>
        <v/>
      </c>
      <c r="U151" s="702"/>
      <c r="V151" s="587" t="str">
        <f>IF(AND(code3&lt;&gt;"",'I3'!$T$47&lt;&gt;""),'I3'!$T$47,"")</f>
        <v/>
      </c>
      <c r="W151" s="1"/>
      <c r="X151" s="890" t="str">
        <f t="shared" si="159"/>
        <v/>
      </c>
      <c r="Y151" s="894" t="str">
        <f>IF(OR(AND(p_peds_stroll=2,V151&lt;=$H151,$H151&lt;&gt;"",V151&lt;&gt;""),AND(p_peds_stroll=1,V151&lt;$H151,$H151&lt;&gt;"",V151&lt;&gt;"")),1,"")</f>
        <v/>
      </c>
      <c r="Z151" s="702"/>
      <c r="AA151" s="587" t="str">
        <f>IF(AND(code4&lt;&gt;"",'I3'!$W$47&lt;&gt;""),'I3'!$W$47,"")</f>
        <v/>
      </c>
      <c r="AB151" s="1"/>
      <c r="AC151" s="890" t="str">
        <f t="shared" si="160"/>
        <v/>
      </c>
      <c r="AD151" s="894" t="str">
        <f>IF(OR(AND(p_peds_stroll=2,AA151&lt;=$H151,$H151&lt;&gt;"",AA151&lt;&gt;""),AND(p_peds_stroll=1,AA151&lt;$H151,$H151&lt;&gt;"",AA151&lt;&gt;"")),1,"")</f>
        <v/>
      </c>
      <c r="AE151" s="702"/>
      <c r="AF151" s="587" t="str">
        <f>IF(AND(code5&lt;&gt;"",'I3'!$AB$47&lt;&gt;""),'I3'!$AB$47,"")</f>
        <v/>
      </c>
      <c r="AG151" s="1"/>
      <c r="AH151" s="890" t="str">
        <f t="shared" si="161"/>
        <v/>
      </c>
      <c r="AI151" s="894" t="str">
        <f>IF(OR(AND(p_peds_stroll=2,AF151&lt;=$H151,$H151&lt;&gt;"",AF151&lt;&gt;""),AND(p_peds_stroll=1,AF151&lt;$H151,$H151&lt;&gt;"",AF151&lt;&gt;"")),1,"")</f>
        <v/>
      </c>
      <c r="AJ151" s="702"/>
      <c r="AK151" s="900">
        <f>MAX($H151,$L151,$Q151,$V151,$AA151,$AF151)</f>
        <v>0</v>
      </c>
      <c r="AL151" s="31"/>
      <c r="AM151" s="29"/>
      <c r="AN151" s="29"/>
      <c r="AO151" s="29"/>
      <c r="AP151" s="29"/>
    </row>
    <row r="152" spans="2:42" ht="15" customHeight="1">
      <c r="B152" s="33"/>
      <c r="C152" s="59"/>
      <c r="D152" s="85" t="s">
        <v>17</v>
      </c>
      <c r="E152" s="59"/>
      <c r="F152" s="294" t="str">
        <f>F$147</f>
        <v/>
      </c>
      <c r="G152" s="190"/>
      <c r="H152" s="590" t="str">
        <f>IF(AND(code0&lt;&gt;"",'I3'!$I$47&lt;&gt;""),'I3'!$I$47,"")</f>
        <v/>
      </c>
      <c r="I152" s="1"/>
      <c r="J152" s="892" t="str">
        <f t="shared" ref="J152" si="162">IF(H152=$AK152,1,"")</f>
        <v/>
      </c>
      <c r="K152" s="703"/>
      <c r="L152" s="589" t="str">
        <f>IF(AND(code1&lt;&gt;"",'I3'!$M$47&lt;&gt;""),'I3'!$M$47,"")</f>
        <v/>
      </c>
      <c r="M152" s="1"/>
      <c r="N152" s="892" t="str">
        <f t="shared" ref="N152" si="163">IF(L152=$AK152,1,"")</f>
        <v/>
      </c>
      <c r="O152" s="895" t="str">
        <f>IF(OR(AND(p_peds_stroll=2,L152&gt;=$H152,$H152&lt;&gt;"",L152&lt;&gt;""),AND(p_peds_stroll=1,L152&gt;$H152,$H152&lt;&gt;"",L152&lt;&gt;"")),1,"")</f>
        <v/>
      </c>
      <c r="P152" s="703"/>
      <c r="Q152" s="589" t="str">
        <f>IF(AND(code2&lt;&gt;"",'I3'!$Q$47&lt;&gt;""),'I3'!$Q$47,"")</f>
        <v/>
      </c>
      <c r="R152" s="1"/>
      <c r="S152" s="892" t="str">
        <f t="shared" ref="S152" si="164">IF(Q152=$AK152,1,"")</f>
        <v/>
      </c>
      <c r="T152" s="895" t="str">
        <f>IF(OR(AND(p_peds_stroll=2,Q152&gt;=$H152,$H152&lt;&gt;"",Q152&lt;&gt;""),AND(p_peds_stroll=1,Q152&gt;$H152,$H152&lt;&gt;"",Q152&lt;&gt;"")),1,"")</f>
        <v/>
      </c>
      <c r="U152" s="703"/>
      <c r="V152" s="589" t="str">
        <f>IF(AND(code3&lt;&gt;"",'I3'!$U$47&lt;&gt;""),'I3'!$U$47,"")</f>
        <v/>
      </c>
      <c r="W152" s="1"/>
      <c r="X152" s="892" t="str">
        <f t="shared" ref="X152" si="165">IF(V152=$AK152,1,"")</f>
        <v/>
      </c>
      <c r="Y152" s="895" t="str">
        <f>IF(OR(AND(p_peds_stroll=2,V152&gt;=$H152,$H152&lt;&gt;"",V152&lt;&gt;""),AND(p_peds_stroll=1,V152&gt;$H152,$H152&lt;&gt;"",V152&lt;&gt;"")),1,"")</f>
        <v/>
      </c>
      <c r="Z152" s="703"/>
      <c r="AA152" s="589" t="str">
        <f>IF(AND(code4&lt;&gt;"",'I3'!$X$47&lt;&gt;""),'I3'!$X$47,"")</f>
        <v/>
      </c>
      <c r="AB152" s="1"/>
      <c r="AC152" s="892" t="str">
        <f t="shared" ref="AC152" si="166">IF(AA152=$AK152,1,"")</f>
        <v/>
      </c>
      <c r="AD152" s="895" t="str">
        <f>IF(OR(AND(p_peds_stroll=2,AA152&gt;=$H152,$H152&lt;&gt;"",AA152&lt;&gt;""),AND(p_peds_stroll=1,AA152&gt;$H152,$H152&lt;&gt;"",AA152&lt;&gt;"")),1,"")</f>
        <v/>
      </c>
      <c r="AE152" s="703"/>
      <c r="AF152" s="589" t="str">
        <f>IF(AND(code5&lt;&gt;"",'I3'!$AC$47&lt;&gt;""),'I3'!$AC$47,"")</f>
        <v/>
      </c>
      <c r="AG152" s="1"/>
      <c r="AH152" s="890" t="str">
        <f t="shared" ref="AH152" si="167">IF(AF152=$AK152,1,"")</f>
        <v/>
      </c>
      <c r="AI152" s="894" t="str">
        <f>IF(OR(AND(p_peds_stroll=2,AF152&gt;=$H152,$H152&lt;&gt;"",AF152&lt;&gt;""),AND(p_peds_stroll=1,AF152&gt;$H152,$H152&lt;&gt;"",AF152&lt;&gt;"")),1,"")</f>
        <v/>
      </c>
      <c r="AJ152" s="702"/>
      <c r="AK152" s="900">
        <f>MIN($H152,$L152,$Q152,$V152,$AA152,$AF152)</f>
        <v>0</v>
      </c>
      <c r="AL152" s="31"/>
      <c r="AM152" s="29"/>
      <c r="AN152" s="29"/>
      <c r="AO152" s="29"/>
      <c r="AP152" s="29"/>
    </row>
    <row r="153" spans="2:42" ht="15" customHeight="1">
      <c r="B153" s="33"/>
      <c r="C153" s="49" t="s">
        <v>264</v>
      </c>
      <c r="D153" s="47"/>
      <c r="F153" s="748"/>
      <c r="G153" s="748"/>
      <c r="H153" s="423"/>
      <c r="I153" s="1"/>
      <c r="J153" s="709"/>
      <c r="K153" s="704"/>
      <c r="L153" s="423"/>
      <c r="M153" s="1"/>
      <c r="N153" s="709"/>
      <c r="O153" s="711"/>
      <c r="P153" s="704"/>
      <c r="Q153" s="423"/>
      <c r="R153" s="1"/>
      <c r="S153" s="709"/>
      <c r="T153" s="711"/>
      <c r="U153" s="704"/>
      <c r="V153" s="423"/>
      <c r="W153" s="1"/>
      <c r="X153" s="709"/>
      <c r="Y153" s="711"/>
      <c r="Z153" s="704"/>
      <c r="AA153" s="423"/>
      <c r="AB153" s="1"/>
      <c r="AC153" s="709"/>
      <c r="AD153" s="711"/>
      <c r="AE153" s="704"/>
      <c r="AF153" s="421"/>
      <c r="AG153" s="1"/>
      <c r="AH153" s="709"/>
      <c r="AI153" s="711"/>
      <c r="AJ153" s="704"/>
      <c r="AK153" s="704"/>
      <c r="AL153" s="31"/>
      <c r="AM153" s="29"/>
      <c r="AN153" s="29"/>
      <c r="AO153" s="29"/>
      <c r="AP153" s="29"/>
    </row>
    <row r="154" spans="2:42" ht="15" customHeight="1">
      <c r="B154" s="33"/>
      <c r="C154" s="29"/>
      <c r="D154" s="47" t="s">
        <v>258</v>
      </c>
      <c r="F154" s="182" t="s">
        <v>293</v>
      </c>
      <c r="G154" s="182"/>
      <c r="H154" s="587" t="str">
        <f>IF(code0="","",'I1'!F45)</f>
        <v/>
      </c>
      <c r="I154" s="1"/>
      <c r="J154" s="890" t="str">
        <f t="shared" ref="J154:J156" si="168">IF(AND(H154&gt;0,H154=$AK154),1,"")</f>
        <v/>
      </c>
      <c r="K154" s="891" t="str">
        <f>IF(AND(H154&gt;0,H154&lt;standard_place),1,"")</f>
        <v/>
      </c>
      <c r="L154" s="587" t="str">
        <f>IF(code1="","",'I1'!H45)</f>
        <v/>
      </c>
      <c r="M154" s="1"/>
      <c r="N154" s="890" t="str">
        <f t="shared" ref="N154:N156" si="169">IF(AND(L154&gt;0,L154=$AK154),1,"")</f>
        <v/>
      </c>
      <c r="O154" s="894" t="str">
        <f>IF(AND($H154&lt;&gt;"",L154&lt;&gt;"",OR(AND(p_peds_sit=2,L154&lt;=$H154),AND(p_peds_sit=1,L154&lt;$H154),AND(p_place=TRUE,L154&lt;=$H154))),1,"")</f>
        <v/>
      </c>
      <c r="P154" s="891" t="str">
        <f>IF(AND(L154&gt;0,L154&lt;standard_place),1,"")</f>
        <v/>
      </c>
      <c r="Q154" s="587" t="str">
        <f>IF(code2="","",'I1'!J45)</f>
        <v/>
      </c>
      <c r="R154" s="1"/>
      <c r="S154" s="890" t="str">
        <f t="shared" ref="S154:S156" si="170">IF(AND(Q154&gt;0,Q154=$AK154),1,"")</f>
        <v/>
      </c>
      <c r="T154" s="894" t="str">
        <f>IF(AND($H154&lt;&gt;"",Q154&lt;&gt;"",OR(AND(p_peds_sit=2,Q154&lt;=$H154),AND(p_peds_sit=1,Q154&lt;$H154),AND(p_place=TRUE,Q154&lt;=$H154))),1,"")</f>
        <v/>
      </c>
      <c r="U154" s="891" t="str">
        <f>IF(AND(Q154&gt;0,Q154&lt;standard_place),1,"")</f>
        <v/>
      </c>
      <c r="V154" s="587" t="str">
        <f>IF(code3="","",'I1'!L45)</f>
        <v/>
      </c>
      <c r="W154" s="1"/>
      <c r="X154" s="890" t="str">
        <f t="shared" ref="X154:X156" si="171">IF(AND(V154&gt;0,V154=$AK154),1,"")</f>
        <v/>
      </c>
      <c r="Y154" s="894" t="str">
        <f>IF(AND($H154&lt;&gt;"",V154&lt;&gt;"",OR(AND(p_peds_sit=2,V154&lt;=$H154),AND(p_peds_sit=1,V154&lt;$H154),AND(p_place=TRUE,V154&lt;=$H154))),1,"")</f>
        <v/>
      </c>
      <c r="Z154" s="891" t="str">
        <f>IF(AND(V154&gt;0,V154&lt;standard_place),1,"")</f>
        <v/>
      </c>
      <c r="AA154" s="587" t="str">
        <f>IF(code4="","",'I1'!N45)</f>
        <v/>
      </c>
      <c r="AB154" s="1"/>
      <c r="AC154" s="890" t="str">
        <f t="shared" ref="AC154:AC156" si="172">IF(AND(AA154&gt;0,AA154=$AK154),1,"")</f>
        <v/>
      </c>
      <c r="AD154" s="894" t="str">
        <f>IF(AND($H154&lt;&gt;"",AA154&lt;&gt;"",OR(AND(p_peds_sit=2,AA154&lt;=$H154),AND(p_peds_sit=1,AA154&lt;$H154),AND(p_place=TRUE,AA154&lt;=$H154))),1,"")</f>
        <v/>
      </c>
      <c r="AE154" s="891" t="str">
        <f>IF(AND(AA154&gt;0,AA154&lt;standard_place),1,"")</f>
        <v/>
      </c>
      <c r="AF154" s="587" t="str">
        <f>IF(code5="","",'I1'!P45)</f>
        <v/>
      </c>
      <c r="AG154" s="1"/>
      <c r="AH154" s="890" t="str">
        <f t="shared" ref="AH154:AH156" si="173">IF(AND(AF154&gt;0,AF154=$AK154),1,"")</f>
        <v/>
      </c>
      <c r="AI154" s="894" t="str">
        <f>IF(AND($H154&lt;&gt;"",AF154&lt;&gt;"",OR(AND(p_peds_sit=2,AF154&lt;=$H154),AND(p_peds_sit=1,AF154&lt;$H154),AND(p_place=TRUE,AF154&lt;=$H154))),1,"")</f>
        <v/>
      </c>
      <c r="AJ154" s="891" t="str">
        <f>IF(AND(AF154&gt;0,AF154&lt;standard_place),1,"")</f>
        <v/>
      </c>
      <c r="AK154" s="900">
        <f>MAX($H154,$L154,$Q154,$V154,$AA154,$AF154)</f>
        <v>0</v>
      </c>
      <c r="AL154" s="31"/>
      <c r="AM154" s="29"/>
      <c r="AN154" s="29"/>
      <c r="AO154" s="29"/>
      <c r="AP154" s="29"/>
    </row>
    <row r="155" spans="2:42" ht="15" customHeight="1">
      <c r="B155" s="33"/>
      <c r="C155" s="29"/>
      <c r="D155" s="47" t="s">
        <v>110</v>
      </c>
      <c r="F155" s="190" t="str">
        <f>F$145</f>
        <v/>
      </c>
      <c r="G155" s="190"/>
      <c r="H155" s="588" t="str">
        <f>IF(AND(code0&lt;&gt;"",'I3'!$G$48&lt;&gt;""),'I3'!$G$48,"")</f>
        <v/>
      </c>
      <c r="I155" s="1"/>
      <c r="J155" s="890" t="str">
        <f t="shared" si="168"/>
        <v/>
      </c>
      <c r="K155" s="706"/>
      <c r="L155" s="587" t="str">
        <f>IF(AND(code1&lt;&gt;"",'I3'!$K$48&lt;&gt;""),'I3'!$K$48,"")</f>
        <v/>
      </c>
      <c r="M155" s="1"/>
      <c r="N155" s="890" t="str">
        <f t="shared" si="169"/>
        <v/>
      </c>
      <c r="O155" s="890" t="str">
        <f>IF(OR(AND(p_peds_sit=2,L155&lt;=$H155,$H155&lt;&gt;"",L155&lt;&gt;""),AND(p_peds_sit=1,L155&lt;$H155,$H155&lt;&gt;"",L155&lt;&gt;"")),1,"")</f>
        <v/>
      </c>
      <c r="P155" s="706"/>
      <c r="Q155" s="587" t="str">
        <f>IF(AND(code2&lt;&gt;"",'I3'!$O$48&lt;&gt;""),'I3'!$O$48,"")</f>
        <v/>
      </c>
      <c r="R155" s="1"/>
      <c r="S155" s="890" t="str">
        <f t="shared" si="170"/>
        <v/>
      </c>
      <c r="T155" s="890" t="str">
        <f>IF(OR(AND(p_peds_sit=2,Q155&lt;=$H155,$H155&lt;&gt;"",Q155&lt;&gt;""),AND(p_peds_sit=1,Q155&lt;$H155,$H155&lt;&gt;"",Q155&lt;&gt;"")),1,"")</f>
        <v/>
      </c>
      <c r="U155" s="706"/>
      <c r="V155" s="587" t="str">
        <f>IF(AND(code3&lt;&gt;"",'I3'!$S$48&lt;&gt;""),'I3'!$S$48,"")</f>
        <v/>
      </c>
      <c r="W155" s="1"/>
      <c r="X155" s="890" t="str">
        <f t="shared" si="171"/>
        <v/>
      </c>
      <c r="Y155" s="890" t="str">
        <f>IF(OR(AND(p_peds_sit=2,V155&lt;=$H155,$H155&lt;&gt;"",V155&lt;&gt;""),AND(p_peds_sit=1,V155&lt;$H155,$H155&lt;&gt;"",V155&lt;&gt;"")),1,"")</f>
        <v/>
      </c>
      <c r="Z155" s="706"/>
      <c r="AA155" s="587" t="str">
        <f>IF(AND(code4&lt;&gt;"",'I3'!$V$48&lt;&gt;""),'I3'!$V$48,"")</f>
        <v/>
      </c>
      <c r="AB155" s="1"/>
      <c r="AC155" s="890" t="str">
        <f t="shared" si="172"/>
        <v/>
      </c>
      <c r="AD155" s="890" t="str">
        <f>IF(OR(AND(p_peds_sit=2,AA155&lt;=$H155,$H155&lt;&gt;"",AA155&lt;&gt;""),AND(p_peds_sit=1,AA155&lt;$H155,$H155&lt;&gt;"",AA155&lt;&gt;"")),1,"")</f>
        <v/>
      </c>
      <c r="AE155" s="706"/>
      <c r="AF155" s="587" t="str">
        <f>IF(AND(code5&lt;&gt;"",'I3'!$AA$48&lt;&gt;""),'I3'!$AA$48,"")</f>
        <v/>
      </c>
      <c r="AG155" s="1"/>
      <c r="AH155" s="890" t="str">
        <f t="shared" si="173"/>
        <v/>
      </c>
      <c r="AI155" s="890" t="str">
        <f>IF(OR(AND(p_peds_sit=2,AF155&lt;=$H155,$H155&lt;&gt;"",AF155&lt;&gt;""),AND(p_peds_sit=1,AF155&lt;$H155,$H155&lt;&gt;"",AF155&lt;&gt;"")),1,"")</f>
        <v/>
      </c>
      <c r="AJ155" s="706"/>
      <c r="AK155" s="900">
        <f>MAX($H155,$L155,$Q155,$V155,$AA155,$AF155)</f>
        <v>0</v>
      </c>
      <c r="AL155" s="31"/>
      <c r="AM155" s="29"/>
      <c r="AN155" s="29"/>
      <c r="AO155" s="29"/>
      <c r="AP155" s="29"/>
    </row>
    <row r="156" spans="2:42" ht="15" customHeight="1">
      <c r="B156" s="33"/>
      <c r="C156" s="29"/>
      <c r="D156" s="47" t="s">
        <v>36</v>
      </c>
      <c r="F156" s="190" t="str">
        <f>F$146</f>
        <v/>
      </c>
      <c r="G156" s="190"/>
      <c r="H156" s="587" t="str">
        <f>IF(AND(code0&lt;&gt;"",'I3'!$H$48&lt;&gt;""),'I3'!$H$48,"")</f>
        <v/>
      </c>
      <c r="I156" s="1"/>
      <c r="J156" s="890" t="str">
        <f t="shared" si="168"/>
        <v/>
      </c>
      <c r="K156" s="702"/>
      <c r="L156" s="587" t="str">
        <f>IF(AND(code1&lt;&gt;"",'I3'!$L$48&lt;&gt;""),'I3'!$L$48,"")</f>
        <v/>
      </c>
      <c r="M156" s="1"/>
      <c r="N156" s="890" t="str">
        <f t="shared" si="169"/>
        <v/>
      </c>
      <c r="O156" s="894" t="str">
        <f>IF(OR(AND(p_peds_sit=2,L156&lt;=$H156,$H156&lt;&gt;"",L156&lt;&gt;""),AND(p_peds_sit=1,L156&lt;$H156,$H156&lt;&gt;"",L156&lt;&gt;"")),1,"")</f>
        <v/>
      </c>
      <c r="P156" s="702"/>
      <c r="Q156" s="587" t="str">
        <f>IF(AND(code2&lt;&gt;"",'I3'!$P$48&lt;&gt;""),'I3'!$P$48,"")</f>
        <v/>
      </c>
      <c r="R156" s="1"/>
      <c r="S156" s="890" t="str">
        <f t="shared" si="170"/>
        <v/>
      </c>
      <c r="T156" s="894" t="str">
        <f>IF(OR(AND(p_peds_sit=2,Q156&lt;=$H156,$H156&lt;&gt;"",Q156&lt;&gt;""),AND(p_peds_sit=1,Q156&lt;$H156,$H156&lt;&gt;"",Q156&lt;&gt;"")),1,"")</f>
        <v/>
      </c>
      <c r="U156" s="702"/>
      <c r="V156" s="587" t="str">
        <f>IF(AND(code3&lt;&gt;"",'I3'!$T$48&lt;&gt;""),'I3'!$T$48,"")</f>
        <v/>
      </c>
      <c r="W156" s="1"/>
      <c r="X156" s="890" t="str">
        <f t="shared" si="171"/>
        <v/>
      </c>
      <c r="Y156" s="894" t="str">
        <f>IF(OR(AND(p_peds_sit=2,V156&lt;=$H156,$H156&lt;&gt;"",V156&lt;&gt;""),AND(p_peds_sit=1,V156&lt;$H156,$H156&lt;&gt;"",V156&lt;&gt;"")),1,"")</f>
        <v/>
      </c>
      <c r="Z156" s="702"/>
      <c r="AA156" s="587" t="str">
        <f>IF(AND(code4&lt;&gt;"",'I3'!$W$48&lt;&gt;""),'I3'!$W$48,"")</f>
        <v/>
      </c>
      <c r="AB156" s="1"/>
      <c r="AC156" s="890" t="str">
        <f t="shared" si="172"/>
        <v/>
      </c>
      <c r="AD156" s="894" t="str">
        <f>IF(OR(AND(p_peds_sit=2,AA156&lt;=$H156,$H156&lt;&gt;"",AA156&lt;&gt;""),AND(p_peds_sit=1,AA156&lt;$H156,$H156&lt;&gt;"",AA156&lt;&gt;"")),1,"")</f>
        <v/>
      </c>
      <c r="AE156" s="702"/>
      <c r="AF156" s="587" t="str">
        <f>IF(AND(code5&lt;&gt;"",'I3'!$AB$48&lt;&gt;""),'I3'!$AB$48,"")</f>
        <v/>
      </c>
      <c r="AG156" s="1"/>
      <c r="AH156" s="890" t="str">
        <f t="shared" si="173"/>
        <v/>
      </c>
      <c r="AI156" s="894" t="str">
        <f>IF(OR(AND(p_peds_sit=2,AF156&lt;=$H156,$H156&lt;&gt;"",AF156&lt;&gt;""),AND(p_peds_sit=1,AF156&lt;$H156,$H156&lt;&gt;"",AF156&lt;&gt;"")),1,"")</f>
        <v/>
      </c>
      <c r="AJ156" s="702"/>
      <c r="AK156" s="900">
        <f>MAX($H156,$L156,$Q156,$V156,$AA156,$AF156)</f>
        <v>0</v>
      </c>
      <c r="AL156" s="31"/>
      <c r="AM156" s="29"/>
      <c r="AN156" s="29"/>
      <c r="AO156" s="29"/>
      <c r="AP156" s="29"/>
    </row>
    <row r="157" spans="2:42" ht="15" customHeight="1">
      <c r="B157" s="33"/>
      <c r="C157" s="59"/>
      <c r="D157" s="85" t="s">
        <v>17</v>
      </c>
      <c r="E157" s="59"/>
      <c r="F157" s="294" t="str">
        <f>F$147</f>
        <v/>
      </c>
      <c r="G157" s="190"/>
      <c r="H157" s="590" t="str">
        <f>IF(AND(code0&lt;&gt;"",'I3'!$I$48&lt;&gt;""),'I3'!$I$48,"")</f>
        <v/>
      </c>
      <c r="I157" s="1"/>
      <c r="J157" s="892" t="str">
        <f t="shared" ref="J157" si="174">IF(H157=$AK157,1,"")</f>
        <v/>
      </c>
      <c r="K157" s="703"/>
      <c r="L157" s="589" t="str">
        <f>IF(AND(code1&lt;&gt;"",'I3'!$M$48&lt;&gt;""),'I3'!$M$48,"")</f>
        <v/>
      </c>
      <c r="M157" s="1"/>
      <c r="N157" s="892" t="str">
        <f t="shared" ref="N157" si="175">IF(L157=$AK157,1,"")</f>
        <v/>
      </c>
      <c r="O157" s="895" t="str">
        <f>IF(OR(AND(p_peds_sit=2,L157&gt;=$H157,$H157&lt;&gt;"",L157&lt;&gt;""),AND(p_peds_sit=1,L157&gt;$H157,$H157&lt;&gt;"",L157&lt;&gt;"")),1,"")</f>
        <v/>
      </c>
      <c r="P157" s="703"/>
      <c r="Q157" s="589" t="str">
        <f>IF(AND(code2&lt;&gt;"",'I3'!$Q$48&lt;&gt;""),'I3'!$Q$48,"")</f>
        <v/>
      </c>
      <c r="R157" s="1"/>
      <c r="S157" s="892" t="str">
        <f t="shared" ref="S157" si="176">IF(Q157=$AK157,1,"")</f>
        <v/>
      </c>
      <c r="T157" s="895" t="str">
        <f>IF(OR(AND(p_peds_sit=2,Q157&gt;=$H157,$H157&lt;&gt;"",Q157&lt;&gt;""),AND(p_peds_sit=1,Q157&gt;$H157,$H157&lt;&gt;"",Q157&lt;&gt;"")),1,"")</f>
        <v/>
      </c>
      <c r="U157" s="703"/>
      <c r="V157" s="589" t="str">
        <f>IF(AND(code3&lt;&gt;"",'I3'!$U$48&lt;&gt;""),'I3'!$U$48,"")</f>
        <v/>
      </c>
      <c r="W157" s="1"/>
      <c r="X157" s="892" t="str">
        <f t="shared" ref="X157" si="177">IF(V157=$AK157,1,"")</f>
        <v/>
      </c>
      <c r="Y157" s="895" t="str">
        <f>IF(OR(AND(p_peds_sit=2,V157&gt;=$H157,$H157&lt;&gt;"",V157&lt;&gt;""),AND(p_peds_sit=1,V157&gt;$H157,$H157&lt;&gt;"",V157&lt;&gt;"")),1,"")</f>
        <v/>
      </c>
      <c r="Z157" s="703"/>
      <c r="AA157" s="589" t="str">
        <f>IF(AND(code4&lt;&gt;"",'I3'!$X$48&lt;&gt;""),'I3'!$X$48,"")</f>
        <v/>
      </c>
      <c r="AB157" s="1"/>
      <c r="AC157" s="892" t="str">
        <f t="shared" ref="AC157" si="178">IF(AA157=$AK157,1,"")</f>
        <v/>
      </c>
      <c r="AD157" s="895" t="str">
        <f>IF(OR(AND(p_peds_sit=2,AA157&gt;=$H157,$H157&lt;&gt;"",AA157&lt;&gt;""),AND(p_peds_sit=1,AA157&gt;$H157,$H157&lt;&gt;"",AA157&lt;&gt;"")),1,"")</f>
        <v/>
      </c>
      <c r="AE157" s="703"/>
      <c r="AF157" s="589" t="str">
        <f>IF(AND(code5&lt;&gt;"",'I3'!$AC$48&lt;&gt;""),'I3'!$AC$48,"")</f>
        <v/>
      </c>
      <c r="AG157" s="1"/>
      <c r="AH157" s="890" t="str">
        <f t="shared" ref="AH157" si="179">IF(AF157=$AK157,1,"")</f>
        <v/>
      </c>
      <c r="AI157" s="894" t="str">
        <f>IF(OR(AND(p_peds_sit=2,AF157&gt;=$H157,$H157&lt;&gt;"",AF157&lt;&gt;""),AND(p_peds_sit=1,AF157&gt;$H157,$H157&lt;&gt;"",AF157&lt;&gt;"")),1,"")</f>
        <v/>
      </c>
      <c r="AJ157" s="702"/>
      <c r="AK157" s="900">
        <f>MIN($H157,$L157,$Q157,$V157,$AA157,$AF157)</f>
        <v>0</v>
      </c>
      <c r="AL157" s="31"/>
      <c r="AM157" s="29"/>
      <c r="AN157" s="29"/>
      <c r="AO157" s="29"/>
      <c r="AP157" s="29"/>
    </row>
    <row r="158" spans="2:42" ht="15" customHeight="1">
      <c r="B158" s="33"/>
      <c r="C158" s="49" t="s">
        <v>265</v>
      </c>
      <c r="D158" s="47"/>
      <c r="F158" s="748"/>
      <c r="G158" s="748"/>
      <c r="H158" s="423"/>
      <c r="I158" s="1"/>
      <c r="J158" s="709"/>
      <c r="K158" s="704"/>
      <c r="L158" s="423"/>
      <c r="M158" s="1"/>
      <c r="N158" s="709"/>
      <c r="O158" s="711"/>
      <c r="P158" s="704"/>
      <c r="Q158" s="423"/>
      <c r="R158" s="1"/>
      <c r="S158" s="709"/>
      <c r="T158" s="711"/>
      <c r="U158" s="704"/>
      <c r="V158" s="423"/>
      <c r="W158" s="1"/>
      <c r="X158" s="709"/>
      <c r="Y158" s="711"/>
      <c r="Z158" s="704"/>
      <c r="AA158" s="423"/>
      <c r="AB158" s="1"/>
      <c r="AC158" s="709"/>
      <c r="AD158" s="711"/>
      <c r="AE158" s="704"/>
      <c r="AF158" s="421"/>
      <c r="AG158" s="1"/>
      <c r="AH158" s="709"/>
      <c r="AI158" s="711"/>
      <c r="AJ158" s="704"/>
      <c r="AK158" s="704"/>
      <c r="AL158" s="31"/>
      <c r="AM158" s="29"/>
      <c r="AN158" s="29"/>
      <c r="AO158" s="29"/>
      <c r="AP158" s="29"/>
    </row>
    <row r="159" spans="2:42" ht="15" customHeight="1">
      <c r="B159" s="33"/>
      <c r="C159" s="29"/>
      <c r="D159" s="47" t="s">
        <v>258</v>
      </c>
      <c r="F159" s="182" t="s">
        <v>293</v>
      </c>
      <c r="G159" s="182"/>
      <c r="H159" s="587" t="str">
        <f>IF(code0="","",'I1'!F45)</f>
        <v/>
      </c>
      <c r="I159" s="1"/>
      <c r="J159" s="890" t="str">
        <f t="shared" ref="J159:J161" si="180">IF(AND(H159&gt;0,H159=$AK159),1,"")</f>
        <v/>
      </c>
      <c r="K159" s="891" t="str">
        <f>IF(AND(H159&gt;0,H159&lt;standard_place),1,"")</f>
        <v/>
      </c>
      <c r="L159" s="587" t="str">
        <f>IF(code1="","",'I1'!H45)</f>
        <v/>
      </c>
      <c r="M159" s="1"/>
      <c r="N159" s="890" t="str">
        <f t="shared" ref="N159:N161" si="181">IF(AND(L159&gt;0,L159=$AK159),1,"")</f>
        <v/>
      </c>
      <c r="O159" s="894" t="str">
        <f>IF(AND($H159&lt;&gt;"",L159&lt;&gt;"",OR(AND(p_peds_cafe=2,L159&lt;=$H159),AND(p_peds_cafe=1,L159&lt;$H159),AND(p_place=TRUE,L159&lt;=$H159))),1,"")</f>
        <v/>
      </c>
      <c r="P159" s="891" t="str">
        <f>IF(AND(L159&gt;0,L159&lt;standard_place),1,"")</f>
        <v/>
      </c>
      <c r="Q159" s="587" t="str">
        <f>IF(code2="","",'I1'!J45)</f>
        <v/>
      </c>
      <c r="R159" s="1"/>
      <c r="S159" s="890" t="str">
        <f t="shared" ref="S159:S161" si="182">IF(AND(Q159&gt;0,Q159=$AK159),1,"")</f>
        <v/>
      </c>
      <c r="T159" s="894" t="str">
        <f>IF(AND($H159&lt;&gt;"",Q159&lt;&gt;"",OR(AND(p_peds_cafe=2,Q159&lt;=$H159),AND(p_peds_cafe=1,Q159&lt;$H159),AND(p_place=TRUE,Q159&lt;=$H159))),1,"")</f>
        <v/>
      </c>
      <c r="U159" s="891" t="str">
        <f>IF(AND(Q159&gt;0,Q159&lt;standard_place),1,"")</f>
        <v/>
      </c>
      <c r="V159" s="587" t="str">
        <f>IF(code3="","",'I1'!L45)</f>
        <v/>
      </c>
      <c r="W159" s="1"/>
      <c r="X159" s="890" t="str">
        <f t="shared" ref="X159:X161" si="183">IF(AND(V159&gt;0,V159=$AK159),1,"")</f>
        <v/>
      </c>
      <c r="Y159" s="894" t="str">
        <f>IF(AND($H159&lt;&gt;"",V159&lt;&gt;"",OR(AND(p_peds_cafe=2,V159&lt;=$H159),AND(p_peds_cafe=1,V159&lt;$H159),AND(p_place=TRUE,V159&lt;=$H159))),1,"")</f>
        <v/>
      </c>
      <c r="Z159" s="891" t="str">
        <f>IF(AND(V159&gt;0,V159&lt;standard_place),1,"")</f>
        <v/>
      </c>
      <c r="AA159" s="587" t="str">
        <f>IF(code4="","",'I1'!N45)</f>
        <v/>
      </c>
      <c r="AB159" s="1"/>
      <c r="AC159" s="890" t="str">
        <f t="shared" ref="AC159:AC161" si="184">IF(AND(AA159&gt;0,AA159=$AK159),1,"")</f>
        <v/>
      </c>
      <c r="AD159" s="894" t="str">
        <f>IF(AND($H159&lt;&gt;"",AA159&lt;&gt;"",OR(AND(p_peds_cafe=2,AA159&lt;=$H159),AND(p_peds_cafe=1,AA159&lt;$H159),AND(p_place=TRUE,AA159&lt;=$H159))),1,"")</f>
        <v/>
      </c>
      <c r="AE159" s="891" t="str">
        <f>IF(AND(AA159&gt;0,AA159&lt;standard_place),1,"")</f>
        <v/>
      </c>
      <c r="AF159" s="587" t="str">
        <f>IF(code5="","",'I1'!P45)</f>
        <v/>
      </c>
      <c r="AG159" s="1"/>
      <c r="AH159" s="890" t="str">
        <f t="shared" ref="AH159:AH161" si="185">IF(AND(AF159&gt;0,AF159=$AK159),1,"")</f>
        <v/>
      </c>
      <c r="AI159" s="894" t="str">
        <f>IF(AND($H159&lt;&gt;"",AF159&lt;&gt;"",OR(AND(p_peds_cafe=2,AF159&lt;=$H159),AND(p_peds_cafe=1,AF159&lt;$H159),AND(p_place=TRUE,AF159&lt;=$H159))),1,"")</f>
        <v/>
      </c>
      <c r="AJ159" s="891" t="str">
        <f>IF(AND(AF159&gt;0,AF159&lt;standard_place),1,"")</f>
        <v/>
      </c>
      <c r="AK159" s="900">
        <f>MAX($H159,$L159,$Q159,$V159,$AA159,$AF159)</f>
        <v>0</v>
      </c>
      <c r="AL159" s="31"/>
      <c r="AM159" s="29"/>
      <c r="AN159" s="29"/>
      <c r="AO159" s="29"/>
      <c r="AP159" s="29"/>
    </row>
    <row r="160" spans="2:42" ht="15" customHeight="1">
      <c r="B160" s="33"/>
      <c r="C160" s="29"/>
      <c r="D160" s="47" t="s">
        <v>110</v>
      </c>
      <c r="F160" s="190" t="str">
        <f>F$145</f>
        <v/>
      </c>
      <c r="G160" s="190"/>
      <c r="H160" s="588" t="str">
        <f>IF(AND(code0&lt;&gt;"",'I3'!$G$49&lt;&gt;""),'I3'!$G$49,"")</f>
        <v/>
      </c>
      <c r="I160" s="1"/>
      <c r="J160" s="890" t="str">
        <f t="shared" si="180"/>
        <v/>
      </c>
      <c r="K160" s="706"/>
      <c r="L160" s="587" t="str">
        <f>IF(AND(code1&lt;&gt;"",'I3'!$K$49&lt;&gt;""),'I3'!$K$49,"")</f>
        <v/>
      </c>
      <c r="M160" s="1"/>
      <c r="N160" s="890" t="str">
        <f t="shared" si="181"/>
        <v/>
      </c>
      <c r="O160" s="890" t="str">
        <f>IF(OR(AND(p_peds_cafe=2,L160&lt;=$H160,$H160&lt;&gt;"",L160&lt;&gt;""),AND(p_peds_cafe=1,L160&lt;$H160,$H160&lt;&gt;"",L160&lt;&gt;"")),1,"")</f>
        <v/>
      </c>
      <c r="P160" s="706"/>
      <c r="Q160" s="587" t="str">
        <f>IF(AND(code2&lt;&gt;"",'I3'!$O$49&lt;&gt;""),'I3'!$O$49,"")</f>
        <v/>
      </c>
      <c r="R160" s="1"/>
      <c r="S160" s="890" t="str">
        <f t="shared" si="182"/>
        <v/>
      </c>
      <c r="T160" s="890" t="str">
        <f>IF(OR(AND(p_peds_cafe=2,Q160&lt;=$H160,$H160&lt;&gt;"",Q160&lt;&gt;""),AND(p_peds_cafe=1,Q160&lt;$H160,$H160&lt;&gt;"",Q160&lt;&gt;"")),1,"")</f>
        <v/>
      </c>
      <c r="U160" s="706"/>
      <c r="V160" s="587" t="str">
        <f>IF(AND(code3&lt;&gt;"",'I3'!$S$49&lt;&gt;""),'I3'!$S$49,"")</f>
        <v/>
      </c>
      <c r="W160" s="1"/>
      <c r="X160" s="890" t="str">
        <f t="shared" si="183"/>
        <v/>
      </c>
      <c r="Y160" s="890" t="str">
        <f>IF(OR(AND(p_peds_cafe=2,V160&lt;=$H160,$H160&lt;&gt;"",V160&lt;&gt;""),AND(p_peds_cafe=1,V160&lt;$H160,$H160&lt;&gt;"",V160&lt;&gt;"")),1,"")</f>
        <v/>
      </c>
      <c r="Z160" s="706"/>
      <c r="AA160" s="587" t="str">
        <f>IF(AND(code4&lt;&gt;"",'I3'!$V$49&lt;&gt;""),'I3'!$V$49,"")</f>
        <v/>
      </c>
      <c r="AB160" s="1"/>
      <c r="AC160" s="890" t="str">
        <f t="shared" si="184"/>
        <v/>
      </c>
      <c r="AD160" s="890" t="str">
        <f>IF(OR(AND(p_peds_cafe=2,AA160&lt;=$H160,$H160&lt;&gt;"",AA160&lt;&gt;""),AND(p_peds_cafe=1,AA160&lt;$H160,$H160&lt;&gt;"",AA160&lt;&gt;"")),1,"")</f>
        <v/>
      </c>
      <c r="AE160" s="706"/>
      <c r="AF160" s="587" t="str">
        <f>IF(AND(code5&lt;&gt;"",'I3'!$AA$49&lt;&gt;""),'I3'!$AA$49,"")</f>
        <v/>
      </c>
      <c r="AG160" s="1"/>
      <c r="AH160" s="890" t="str">
        <f t="shared" si="185"/>
        <v/>
      </c>
      <c r="AI160" s="890" t="str">
        <f>IF(OR(AND(p_peds_cafe=2,AF160&lt;=$H160,$H160&lt;&gt;"",AF160&lt;&gt;""),AND(p_peds_cafe=1,AF160&lt;$H160,$H160&lt;&gt;"",AF160&lt;&gt;"")),1,"")</f>
        <v/>
      </c>
      <c r="AJ160" s="706"/>
      <c r="AK160" s="900">
        <f>MAX($H160,$L160,$Q160,$V160,$AA160,$AF160)</f>
        <v>0</v>
      </c>
      <c r="AL160" s="31"/>
      <c r="AM160" s="29"/>
      <c r="AN160" s="29"/>
      <c r="AO160" s="29"/>
      <c r="AP160" s="29"/>
    </row>
    <row r="161" spans="2:42" ht="15" customHeight="1">
      <c r="B161" s="33"/>
      <c r="C161" s="29"/>
      <c r="D161" s="47" t="s">
        <v>36</v>
      </c>
      <c r="F161" s="190" t="str">
        <f>F$146</f>
        <v/>
      </c>
      <c r="G161" s="190"/>
      <c r="H161" s="587" t="str">
        <f>IF(AND(code0&lt;&gt;"",'I3'!$H$49&lt;&gt;""),'I3'!$H$49,"")</f>
        <v/>
      </c>
      <c r="I161" s="1"/>
      <c r="J161" s="890" t="str">
        <f t="shared" si="180"/>
        <v/>
      </c>
      <c r="K161" s="702"/>
      <c r="L161" s="587" t="str">
        <f>IF(AND(code1&lt;&gt;"",'I3'!$L$49&lt;&gt;""),'I3'!$L$49,"")</f>
        <v/>
      </c>
      <c r="M161" s="1"/>
      <c r="N161" s="890" t="str">
        <f t="shared" si="181"/>
        <v/>
      </c>
      <c r="O161" s="894" t="str">
        <f>IF(OR(AND(p_peds_cafe=2,L161&lt;=$H161,$H161&lt;&gt;"",L161&lt;&gt;""),AND(p_peds_cafe=1,L161&lt;$H161,$H161&lt;&gt;"",L161&lt;&gt;"")),1,"")</f>
        <v/>
      </c>
      <c r="P161" s="702"/>
      <c r="Q161" s="587" t="str">
        <f>IF(AND(code2&lt;&gt;"",'I3'!$P$49&lt;&gt;""),'I3'!$P$49,"")</f>
        <v/>
      </c>
      <c r="R161" s="1"/>
      <c r="S161" s="890" t="str">
        <f t="shared" si="182"/>
        <v/>
      </c>
      <c r="T161" s="894" t="str">
        <f>IF(OR(AND(p_peds_cafe=2,Q161&lt;=$H161,$H161&lt;&gt;"",Q161&lt;&gt;""),AND(p_peds_cafe=1,Q161&lt;$H161,$H161&lt;&gt;"",Q161&lt;&gt;"")),1,"")</f>
        <v/>
      </c>
      <c r="U161" s="702"/>
      <c r="V161" s="587" t="str">
        <f>IF(AND(code3&lt;&gt;"",'I3'!$T$49&lt;&gt;""),'I3'!$T$49,"")</f>
        <v/>
      </c>
      <c r="W161" s="1"/>
      <c r="X161" s="890" t="str">
        <f t="shared" si="183"/>
        <v/>
      </c>
      <c r="Y161" s="894" t="str">
        <f>IF(OR(AND(p_peds_cafe=2,V161&lt;=$H161,$H161&lt;&gt;"",V161&lt;&gt;""),AND(p_peds_cafe=1,V161&lt;$H161,$H161&lt;&gt;"",V161&lt;&gt;"")),1,"")</f>
        <v/>
      </c>
      <c r="Z161" s="702"/>
      <c r="AA161" s="587" t="str">
        <f>IF(AND(code4&lt;&gt;"",'I3'!$W$49&lt;&gt;""),'I3'!$W$49,"")</f>
        <v/>
      </c>
      <c r="AB161" s="1"/>
      <c r="AC161" s="890" t="str">
        <f t="shared" si="184"/>
        <v/>
      </c>
      <c r="AD161" s="894" t="str">
        <f>IF(OR(AND(p_peds_cafe=2,AA161&lt;=$H161,$H161&lt;&gt;"",AA161&lt;&gt;""),AND(p_peds_cafe=1,AA161&lt;$H161,$H161&lt;&gt;"",AA161&lt;&gt;"")),1,"")</f>
        <v/>
      </c>
      <c r="AE161" s="702"/>
      <c r="AF161" s="587" t="str">
        <f>IF(AND(code5&lt;&gt;"",'I3'!$AB$49&lt;&gt;""),'I3'!$AB$49,"")</f>
        <v/>
      </c>
      <c r="AG161" s="1"/>
      <c r="AH161" s="890" t="str">
        <f t="shared" si="185"/>
        <v/>
      </c>
      <c r="AI161" s="894" t="str">
        <f>IF(OR(AND(p_peds_cafe=2,AF161&lt;=$H161,$H161&lt;&gt;"",AF161&lt;&gt;""),AND(p_peds_cafe=1,AF161&lt;$H161,$H161&lt;&gt;"",AF161&lt;&gt;"")),1,"")</f>
        <v/>
      </c>
      <c r="AJ161" s="702"/>
      <c r="AK161" s="900">
        <f>MAX($H161,$L161,$Q161,$V161,$AA161,$AF161)</f>
        <v>0</v>
      </c>
      <c r="AL161" s="31"/>
      <c r="AM161" s="29"/>
      <c r="AN161" s="29"/>
      <c r="AO161" s="29"/>
      <c r="AP161" s="29"/>
    </row>
    <row r="162" spans="2:42" ht="15" customHeight="1">
      <c r="B162" s="33"/>
      <c r="C162" s="59"/>
      <c r="D162" s="85" t="s">
        <v>17</v>
      </c>
      <c r="E162" s="59"/>
      <c r="F162" s="294" t="str">
        <f>F$147</f>
        <v/>
      </c>
      <c r="G162" s="190"/>
      <c r="H162" s="590" t="str">
        <f>IF(AND(code0&lt;&gt;"",'I3'!$I$49&lt;&gt;""),'I3'!$I$49,"")</f>
        <v/>
      </c>
      <c r="I162" s="1"/>
      <c r="J162" s="892" t="str">
        <f t="shared" ref="J162" si="186">IF(H162=$AK162,1,"")</f>
        <v/>
      </c>
      <c r="K162" s="703"/>
      <c r="L162" s="589" t="str">
        <f>IF(AND(code1&lt;&gt;"",'I3'!$M$49&lt;&gt;""),'I3'!$M$49,"")</f>
        <v/>
      </c>
      <c r="M162" s="1"/>
      <c r="N162" s="892" t="str">
        <f t="shared" ref="N162" si="187">IF(L162=$AK162,1,"")</f>
        <v/>
      </c>
      <c r="O162" s="895" t="str">
        <f>IF(OR(AND(p_peds_cafe=2,L162&gt;=$H162,$H162&lt;&gt;"",L162&lt;&gt;""),AND(p_peds_cafe=1,L162&gt;$H162,$H162&lt;&gt;"",L162&lt;&gt;"")),1,"")</f>
        <v/>
      </c>
      <c r="P162" s="703"/>
      <c r="Q162" s="589" t="str">
        <f>IF(AND(code2&lt;&gt;"",'I3'!$Q$49&lt;&gt;""),'I3'!$Q$49,"")</f>
        <v/>
      </c>
      <c r="R162" s="1"/>
      <c r="S162" s="892" t="str">
        <f t="shared" ref="S162" si="188">IF(Q162=$AK162,1,"")</f>
        <v/>
      </c>
      <c r="T162" s="895" t="str">
        <f>IF(OR(AND(p_peds_cafe=2,Q162&gt;=$H162,$H162&lt;&gt;"",Q162&lt;&gt;""),AND(p_peds_cafe=1,Q162&gt;$H162,$H162&lt;&gt;"",Q162&lt;&gt;"")),1,"")</f>
        <v/>
      </c>
      <c r="U162" s="703"/>
      <c r="V162" s="589" t="str">
        <f>IF(AND(code3&lt;&gt;"",'I3'!$U$49&lt;&gt;""),'I3'!$U$49,"")</f>
        <v/>
      </c>
      <c r="W162" s="1"/>
      <c r="X162" s="892" t="str">
        <f t="shared" ref="X162" si="189">IF(V162=$AK162,1,"")</f>
        <v/>
      </c>
      <c r="Y162" s="895" t="str">
        <f>IF(OR(AND(p_peds_cafe=2,V162&gt;=$H162,$H162&lt;&gt;"",V162&lt;&gt;""),AND(p_peds_cafe=1,V162&gt;$H162,$H162&lt;&gt;"",V162&lt;&gt;"")),1,"")</f>
        <v/>
      </c>
      <c r="Z162" s="703"/>
      <c r="AA162" s="589" t="str">
        <f>IF(AND(code4&lt;&gt;"",'I3'!$X$49&lt;&gt;""),'I3'!$X$49,"")</f>
        <v/>
      </c>
      <c r="AB162" s="1"/>
      <c r="AC162" s="892" t="str">
        <f t="shared" ref="AC162" si="190">IF(AA162=$AK162,1,"")</f>
        <v/>
      </c>
      <c r="AD162" s="895" t="str">
        <f>IF(OR(AND(p_peds_cafe=2,AA162&gt;=$H162,$H162&lt;&gt;"",AA162&lt;&gt;""),AND(p_peds_cafe=1,AA162&gt;$H162,$H162&lt;&gt;"",AA162&lt;&gt;"")),1,"")</f>
        <v/>
      </c>
      <c r="AE162" s="703"/>
      <c r="AF162" s="589" t="str">
        <f>IF(AND(code5&lt;&gt;"",'I3'!$AC$49&lt;&gt;""),'I3'!$AC$49,"")</f>
        <v/>
      </c>
      <c r="AG162" s="1"/>
      <c r="AH162" s="890" t="str">
        <f t="shared" ref="AH162" si="191">IF(AF162=$AK162,1,"")</f>
        <v/>
      </c>
      <c r="AI162" s="894" t="str">
        <f>IF(OR(AND(p_peds_cafe=2,AF162&gt;=$H162,$H162&lt;&gt;"",AF162&lt;&gt;""),AND(p_peds_cafe=1,AF162&gt;$H162,$H162&lt;&gt;"",AF162&lt;&gt;"")),1,"")</f>
        <v/>
      </c>
      <c r="AJ162" s="702"/>
      <c r="AK162" s="900">
        <f>MIN($H162,$L162,$Q162,$V162,$AA162,$AF162)</f>
        <v>0</v>
      </c>
      <c r="AL162" s="31"/>
      <c r="AM162" s="29"/>
      <c r="AN162" s="29"/>
      <c r="AO162" s="29"/>
      <c r="AP162" s="29"/>
    </row>
    <row r="163" spans="2:42" ht="15" customHeight="1">
      <c r="B163" s="33"/>
      <c r="D163" s="47"/>
      <c r="F163" s="53"/>
      <c r="G163" s="748"/>
      <c r="H163" s="366"/>
      <c r="I163" s="1"/>
      <c r="J163" s="610"/>
      <c r="K163" s="704"/>
      <c r="L163" s="366"/>
      <c r="M163" s="1"/>
      <c r="N163" s="610"/>
      <c r="O163" s="711"/>
      <c r="P163" s="704"/>
      <c r="Q163" s="366"/>
      <c r="R163" s="1"/>
      <c r="S163" s="610"/>
      <c r="T163" s="714"/>
      <c r="U163" s="704"/>
      <c r="V163" s="748"/>
      <c r="W163" s="1"/>
      <c r="X163" s="610"/>
      <c r="Y163" s="714"/>
      <c r="Z163" s="704"/>
      <c r="AA163" s="748"/>
      <c r="AB163" s="1"/>
      <c r="AC163" s="610"/>
      <c r="AD163" s="714"/>
      <c r="AE163" s="704"/>
      <c r="AF163" s="366"/>
      <c r="AG163" s="1"/>
      <c r="AH163" s="610"/>
      <c r="AI163" s="714"/>
      <c r="AJ163" s="704"/>
      <c r="AK163" s="704"/>
      <c r="AL163" s="31"/>
      <c r="AM163" s="29"/>
      <c r="AN163" s="29"/>
      <c r="AO163" s="29"/>
      <c r="AP163" s="29"/>
    </row>
    <row r="164" spans="2:42" ht="15" customHeight="1">
      <c r="B164" s="33"/>
      <c r="C164" s="201" t="s">
        <v>109</v>
      </c>
      <c r="D164" s="85"/>
      <c r="E164" s="59"/>
      <c r="F164" s="749"/>
      <c r="G164" s="748"/>
      <c r="H164" s="749"/>
      <c r="I164" s="1"/>
      <c r="J164" s="609"/>
      <c r="K164" s="705"/>
      <c r="L164" s="749"/>
      <c r="M164" s="1"/>
      <c r="N164" s="609"/>
      <c r="O164" s="712"/>
      <c r="P164" s="705"/>
      <c r="Q164" s="749"/>
      <c r="R164" s="1"/>
      <c r="S164" s="609"/>
      <c r="T164" s="715"/>
      <c r="U164" s="705"/>
      <c r="V164" s="749"/>
      <c r="W164" s="1"/>
      <c r="X164" s="609"/>
      <c r="Y164" s="715"/>
      <c r="Z164" s="705"/>
      <c r="AA164" s="749"/>
      <c r="AB164" s="1"/>
      <c r="AC164" s="609"/>
      <c r="AD164" s="715"/>
      <c r="AE164" s="705"/>
      <c r="AF164" s="749"/>
      <c r="AG164" s="1"/>
      <c r="AH164" s="610"/>
      <c r="AI164" s="714"/>
      <c r="AJ164" s="704"/>
      <c r="AK164" s="704"/>
      <c r="AL164" s="31"/>
      <c r="AM164" s="29"/>
      <c r="AN164" s="29"/>
      <c r="AO164" s="29"/>
      <c r="AP164" s="29"/>
    </row>
    <row r="165" spans="2:42" ht="15" customHeight="1">
      <c r="B165" s="34"/>
      <c r="C165" s="49" t="s">
        <v>21</v>
      </c>
      <c r="D165" s="49"/>
      <c r="F165" s="67"/>
      <c r="G165" s="67"/>
      <c r="H165" s="208"/>
      <c r="I165" s="1"/>
      <c r="J165" s="610"/>
      <c r="K165" s="707"/>
      <c r="L165" s="186"/>
      <c r="M165" s="1"/>
      <c r="N165" s="610"/>
      <c r="O165" s="716"/>
      <c r="P165" s="707"/>
      <c r="Q165" s="186"/>
      <c r="R165" s="1"/>
      <c r="S165" s="610"/>
      <c r="T165" s="714"/>
      <c r="U165" s="707"/>
      <c r="V165" s="186"/>
      <c r="W165" s="1"/>
      <c r="X165" s="610"/>
      <c r="Y165" s="714"/>
      <c r="Z165" s="707"/>
      <c r="AA165" s="186"/>
      <c r="AB165" s="1"/>
      <c r="AC165" s="610"/>
      <c r="AD165" s="714"/>
      <c r="AE165" s="707"/>
      <c r="AF165" s="103"/>
      <c r="AG165" s="1"/>
      <c r="AH165" s="610"/>
      <c r="AI165" s="714"/>
      <c r="AJ165" s="707"/>
      <c r="AK165" s="707"/>
      <c r="AL165" s="36"/>
      <c r="AM165" s="29"/>
      <c r="AN165" s="29"/>
      <c r="AO165" s="29"/>
      <c r="AP165" s="29"/>
    </row>
    <row r="166" spans="2:42" ht="15" customHeight="1">
      <c r="B166" s="34"/>
      <c r="C166" s="49"/>
      <c r="D166" s="47" t="s">
        <v>269</v>
      </c>
      <c r="F166" s="190" t="str">
        <f>IF('I4'!G25="","",'I4'!G25)</f>
        <v/>
      </c>
      <c r="G166" s="190"/>
      <c r="H166" s="588" t="str">
        <f>IF(AND(code0&lt;&gt;"",'I4'!L25&lt;&gt;""),'I4'!L25,"")</f>
        <v/>
      </c>
      <c r="I166" s="1"/>
      <c r="J166" s="890" t="str">
        <f t="shared" ref="J166" si="192">IF(H166=$AK166,1,"")</f>
        <v/>
      </c>
      <c r="K166" s="702"/>
      <c r="L166" s="587" t="str">
        <f>IF(AND(code0&lt;&gt;"",'I4'!N25&lt;&gt;""),'I4'!N25,"")</f>
        <v/>
      </c>
      <c r="M166" s="1"/>
      <c r="N166" s="890" t="str">
        <f t="shared" ref="N166" si="193">IF(L166=$AK166,1,"")</f>
        <v/>
      </c>
      <c r="O166" s="894" t="str">
        <f>IF(OR(AND(p_transportcosts=TRUE,L166&lt;=$H166,$H166&lt;&gt;"",L166&lt;&gt;""),AND(p_transportcosts=TRUE,L166&lt;$H166,$H166&lt;&gt;"",L166&lt;&gt;"")),1,"")</f>
        <v/>
      </c>
      <c r="P166" s="702"/>
      <c r="Q166" s="587" t="str">
        <f>IF(AND(code0&lt;&gt;"",'I4'!P25&lt;&gt;""),'I4'!P25,"")</f>
        <v/>
      </c>
      <c r="R166" s="1"/>
      <c r="S166" s="890" t="str">
        <f t="shared" ref="S166" si="194">IF(Q166=$AK166,1,"")</f>
        <v/>
      </c>
      <c r="T166" s="894" t="str">
        <f>IF(OR(AND(p_transportcosts=TRUE,Q166&lt;=$H166,$H166&lt;&gt;"",Q166&lt;&gt;""),AND(p_transportcosts=TRUE,Q166&lt;$H166,$H166&lt;&gt;"",Q166&lt;&gt;"")),1,"")</f>
        <v/>
      </c>
      <c r="U166" s="702"/>
      <c r="V166" s="587" t="str">
        <f>IF(AND(code0&lt;&gt;"",'I4'!R25&lt;&gt;""),'I4'!R25,"")</f>
        <v/>
      </c>
      <c r="W166" s="1"/>
      <c r="X166" s="890" t="str">
        <f t="shared" ref="X166" si="195">IF(V166=$AK166,1,"")</f>
        <v/>
      </c>
      <c r="Y166" s="894" t="str">
        <f>IF(OR(AND(p_transportcosts=TRUE,V166&lt;=$H166,$H166&lt;&gt;"",V166&lt;&gt;""),AND(p_transportcosts=TRUE,V166&lt;$H166,$H166&lt;&gt;"",V166&lt;&gt;"")),1,"")</f>
        <v/>
      </c>
      <c r="Z166" s="702"/>
      <c r="AA166" s="587" t="str">
        <f>IF(AND(code0&lt;&gt;"",'I4'!T25&lt;&gt;""),'I4'!T25,"")</f>
        <v/>
      </c>
      <c r="AB166" s="1"/>
      <c r="AC166" s="890" t="str">
        <f t="shared" ref="AC166" si="196">IF(AA166=$AK166,1,"")</f>
        <v/>
      </c>
      <c r="AD166" s="894" t="str">
        <f>IF(OR(AND(p_transportcosts=TRUE,AA166&lt;=$H166,$H166&lt;&gt;"",AA166&lt;&gt;""),AND(p_transportcosts=TRUE,AA166&lt;$H166,$H166&lt;&gt;"",AA166&lt;&gt;"")),1,"")</f>
        <v/>
      </c>
      <c r="AE166" s="702"/>
      <c r="AF166" s="587" t="str">
        <f>IF(AND(code0&lt;&gt;"",'I4'!V25&lt;&gt;""),'I4'!V25,"")</f>
        <v/>
      </c>
      <c r="AG166" s="1"/>
      <c r="AH166" s="890" t="str">
        <f t="shared" ref="AH166" si="197">IF(AF166=$AK166,1,"")</f>
        <v/>
      </c>
      <c r="AI166" s="894" t="str">
        <f>IF(OR(AND(p_transportcosts=TRUE,AF166&lt;=$H166,$H166&lt;&gt;"",AF166&lt;&gt;""),AND(p_transportcosts=TRUE,AF166&lt;$H166,$H166&lt;&gt;"",AF166&lt;&gt;"")),1,"")</f>
        <v/>
      </c>
      <c r="AJ166" s="702"/>
      <c r="AK166" s="900">
        <f>MIN($H166,$L166,$Q166,$V166,$AA166,$AF166)</f>
        <v>0</v>
      </c>
      <c r="AL166" s="36"/>
      <c r="AM166" s="29"/>
      <c r="AN166" s="29"/>
      <c r="AO166" s="29"/>
      <c r="AP166" s="29"/>
    </row>
    <row r="167" spans="2:42" ht="15" customHeight="1">
      <c r="B167" s="30"/>
      <c r="C167" s="29"/>
      <c r="D167" s="47" t="s">
        <v>22</v>
      </c>
      <c r="F167" s="190" t="str">
        <f>IF('I4'!G26="","",'I4'!G26)</f>
        <v/>
      </c>
      <c r="G167" s="190"/>
      <c r="H167" s="588" t="str">
        <f>IF(AND(code0&lt;&gt;"",'I4'!L26&lt;&gt;""),'I4'!L26,"")</f>
        <v/>
      </c>
      <c r="I167" s="1"/>
      <c r="J167" s="890" t="str">
        <f t="shared" ref="J167:J169" si="198">IF(AND(H167&gt;0,H167=$AK167),1,"")</f>
        <v/>
      </c>
      <c r="K167" s="702"/>
      <c r="L167" s="587" t="str">
        <f>IF(AND(code0&lt;&gt;"",'I4'!N26&lt;&gt;""),'I4'!N26,"")</f>
        <v/>
      </c>
      <c r="M167" s="1"/>
      <c r="N167" s="890" t="str">
        <f t="shared" ref="N167:N169" si="199">IF(AND(L167&gt;0,L167=$AK167),1,"")</f>
        <v/>
      </c>
      <c r="O167" s="894" t="str">
        <f>IF(OR(AND(p_localeconomy=TRUE,L167&lt;=$H167,$H167&lt;&gt;"",L167&lt;&gt;""),AND(p_localeconomy=TRUE,L167&lt;$H167,$H167&lt;&gt;"",L167&lt;&gt;"")),1,"")</f>
        <v/>
      </c>
      <c r="P167" s="702"/>
      <c r="Q167" s="587" t="str">
        <f>IF(AND(code0&lt;&gt;"",'I4'!P26&lt;&gt;""),'I4'!P26,"")</f>
        <v/>
      </c>
      <c r="R167" s="1"/>
      <c r="S167" s="890" t="str">
        <f t="shared" ref="S167:S169" si="200">IF(AND(Q167&gt;0,Q167=$AK167),1,"")</f>
        <v/>
      </c>
      <c r="T167" s="894" t="str">
        <f>IF(OR(AND(p_localeconomy=TRUE,Q167&lt;=$H167,$H167&lt;&gt;"",Q167&lt;&gt;""),AND(p_localeconomy=TRUE,Q167&lt;$H167,$H167&lt;&gt;"",Q167&lt;&gt;"")),1,"")</f>
        <v/>
      </c>
      <c r="U167" s="702"/>
      <c r="V167" s="587" t="str">
        <f>IF(AND(code0&lt;&gt;"",'I4'!R26&lt;&gt;""),'I4'!R26,"")</f>
        <v/>
      </c>
      <c r="W167" s="1"/>
      <c r="X167" s="890" t="str">
        <f t="shared" ref="X167:X169" si="201">IF(AND(V167&gt;0,V167=$AK167),1,"")</f>
        <v/>
      </c>
      <c r="Y167" s="894" t="str">
        <f>IF(OR(AND(p_localeconomy=TRUE,V167&lt;=$H167,$H167&lt;&gt;"",V167&lt;&gt;""),AND(p_localeconomy=TRUE,V167&lt;$H167,$H167&lt;&gt;"",V167&lt;&gt;"")),1,"")</f>
        <v/>
      </c>
      <c r="Z167" s="702"/>
      <c r="AA167" s="587" t="str">
        <f>IF(AND(code0&lt;&gt;"",'I4'!T26&lt;&gt;""),'I4'!T26,"")</f>
        <v/>
      </c>
      <c r="AB167" s="1"/>
      <c r="AC167" s="890" t="str">
        <f t="shared" ref="AC167:AC169" si="202">IF(AND(AA167&gt;0,AA167=$AK167),1,"")</f>
        <v/>
      </c>
      <c r="AD167" s="894" t="str">
        <f>IF(OR(AND(p_localeconomy=TRUE,AA167&lt;=$H167,$H167&lt;&gt;"",AA167&lt;&gt;""),AND(p_localeconomy=TRUE,AA167&lt;$H167,$H167&lt;&gt;"",AA167&lt;&gt;"")),1,"")</f>
        <v/>
      </c>
      <c r="AE167" s="702"/>
      <c r="AF167" s="587" t="str">
        <f>IF(AND(code0&lt;&gt;"",'I4'!V26&lt;&gt;""),'I4'!V26,"")</f>
        <v/>
      </c>
      <c r="AG167" s="1"/>
      <c r="AH167" s="890" t="str">
        <f t="shared" ref="AH167:AH169" si="203">IF(AND(AF167&gt;0,AF167=$AK167),1,"")</f>
        <v/>
      </c>
      <c r="AI167" s="894" t="str">
        <f>IF(OR(AND(p_localeconomy=TRUE,AF167&lt;=$H167,$H167&lt;&gt;"",AF167&lt;&gt;""),AND(p_localeconomy=TRUE,AF167&lt;$H167,$H167&lt;&gt;"",AF167&lt;&gt;"")),1,"")</f>
        <v/>
      </c>
      <c r="AJ167" s="702"/>
      <c r="AK167" s="900">
        <f>MAX($H167,$L167,$Q167,$V167,$AA167,$AF167)</f>
        <v>0</v>
      </c>
      <c r="AL167" s="31"/>
      <c r="AM167" s="29"/>
      <c r="AN167" s="29"/>
      <c r="AO167" s="29"/>
      <c r="AP167" s="29"/>
    </row>
    <row r="168" spans="2:42" ht="15" customHeight="1">
      <c r="B168" s="30"/>
      <c r="C168" s="29"/>
      <c r="D168" s="47" t="s">
        <v>141</v>
      </c>
      <c r="F168" s="190" t="str">
        <f>IF('I4'!G27="","",'I4'!G27)</f>
        <v/>
      </c>
      <c r="G168" s="190"/>
      <c r="H168" s="588" t="str">
        <f>IF(AND(code0&lt;&gt;"",'I4'!L27&lt;&gt;""),'I4'!L27,"")</f>
        <v/>
      </c>
      <c r="I168" s="1"/>
      <c r="J168" s="890" t="str">
        <f t="shared" si="198"/>
        <v/>
      </c>
      <c r="K168" s="702"/>
      <c r="L168" s="588" t="str">
        <f>IF(AND(code0&lt;&gt;"",'I4'!N27&lt;&gt;""),'I4'!N27,"")</f>
        <v/>
      </c>
      <c r="M168" s="1"/>
      <c r="N168" s="890" t="str">
        <f t="shared" si="199"/>
        <v/>
      </c>
      <c r="O168" s="894" t="str">
        <f>IF(OR(AND(p_localeconomy=TRUE,L168&lt;=$H168,$H168&lt;&gt;"",L168&lt;&gt;""),AND(p_localeconomy=TRUE,L168&lt;$H168,$H168&lt;&gt;"",L168&lt;&gt;"")),1,"")</f>
        <v/>
      </c>
      <c r="P168" s="702"/>
      <c r="Q168" s="588" t="str">
        <f>IF(AND(code0&lt;&gt;"",'I4'!P27&lt;&gt;""),'I4'!P27,"")</f>
        <v/>
      </c>
      <c r="R168" s="1"/>
      <c r="S168" s="890" t="str">
        <f t="shared" si="200"/>
        <v/>
      </c>
      <c r="T168" s="894" t="str">
        <f>IF(OR(AND(p_localeconomy=TRUE,Q168&lt;=$H168,$H168&lt;&gt;"",Q168&lt;&gt;""),AND(p_localeconomy=TRUE,Q168&lt;$H168,$H168&lt;&gt;"",Q168&lt;&gt;"")),1,"")</f>
        <v/>
      </c>
      <c r="U168" s="702"/>
      <c r="V168" s="588" t="str">
        <f>IF(AND(code0&lt;&gt;"",'I4'!R27&lt;&gt;""),'I4'!R27,"")</f>
        <v/>
      </c>
      <c r="W168" s="1"/>
      <c r="X168" s="890" t="str">
        <f t="shared" si="201"/>
        <v/>
      </c>
      <c r="Y168" s="894" t="str">
        <f>IF(OR(AND(p_localeconomy=TRUE,V168&lt;=$H168,$H168&lt;&gt;"",V168&lt;&gt;""),AND(p_localeconomy=TRUE,V168&lt;$H168,$H168&lt;&gt;"",V168&lt;&gt;"")),1,"")</f>
        <v/>
      </c>
      <c r="Z168" s="702"/>
      <c r="AA168" s="588" t="str">
        <f>IF(AND(code0&lt;&gt;"",'I4'!T27&lt;&gt;""),'I4'!T27,"")</f>
        <v/>
      </c>
      <c r="AB168" s="1"/>
      <c r="AC168" s="890" t="str">
        <f t="shared" si="202"/>
        <v/>
      </c>
      <c r="AD168" s="894" t="str">
        <f>IF(OR(AND(p_localeconomy=TRUE,AA168&lt;=$H168,$H168&lt;&gt;"",AA168&lt;&gt;""),AND(p_localeconomy=TRUE,AA168&lt;$H168,$H168&lt;&gt;"",AA168&lt;&gt;"")),1,"")</f>
        <v/>
      </c>
      <c r="AE168" s="702"/>
      <c r="AF168" s="588" t="str">
        <f>IF(AND(code0&lt;&gt;"",'I4'!V27&lt;&gt;""),'I4'!V27,"")</f>
        <v/>
      </c>
      <c r="AG168" s="1"/>
      <c r="AH168" s="890" t="str">
        <f t="shared" si="203"/>
        <v/>
      </c>
      <c r="AI168" s="894" t="str">
        <f>IF(OR(AND(p_localeconomy=TRUE,AF168&lt;=$H168,$H168&lt;&gt;"",AF168&lt;&gt;""),AND(p_localeconomy=TRUE,AF168&lt;$H168,$H168&lt;&gt;"",AF168&lt;&gt;"")),1,"")</f>
        <v/>
      </c>
      <c r="AJ168" s="702"/>
      <c r="AK168" s="900">
        <f>MAX($H168,$L168,$Q168,$V168,$AA168,$AF168)</f>
        <v>0</v>
      </c>
      <c r="AL168" s="31"/>
      <c r="AM168" s="29"/>
      <c r="AN168" s="29"/>
      <c r="AO168" s="29"/>
      <c r="AP168" s="29"/>
    </row>
    <row r="169" spans="2:42" ht="15" customHeight="1">
      <c r="B169" s="30"/>
      <c r="C169" s="59"/>
      <c r="D169" s="85" t="s">
        <v>161</v>
      </c>
      <c r="E169" s="59"/>
      <c r="F169" s="294" t="str">
        <f>IF('I4'!G28="","",'I4'!G28)</f>
        <v/>
      </c>
      <c r="G169" s="190"/>
      <c r="H169" s="590" t="str">
        <f>IF(AND(code0&lt;&gt;"",'I4'!L28&lt;&gt;""),'I4'!L28,"")</f>
        <v/>
      </c>
      <c r="I169" s="1"/>
      <c r="J169" s="892" t="str">
        <f t="shared" si="198"/>
        <v/>
      </c>
      <c r="K169" s="708"/>
      <c r="L169" s="589" t="str">
        <f>IF(AND(code0&lt;&gt;"",'I4'!N28&lt;&gt;""),'I4'!N28,"")</f>
        <v/>
      </c>
      <c r="M169" s="1"/>
      <c r="N169" s="892" t="str">
        <f t="shared" si="199"/>
        <v/>
      </c>
      <c r="O169" s="892" t="str">
        <f>IF(OR(AND(p_localeconomy=TRUE,L169&lt;=$H169,$H169&lt;&gt;"",L169&lt;&gt;""),AND(p_localeconomy=TRUE,L169&lt;$H169,$H169&lt;&gt;"",L169&lt;&gt;"")),1,"")</f>
        <v/>
      </c>
      <c r="P169" s="708"/>
      <c r="Q169" s="589" t="str">
        <f>IF(AND(code0&lt;&gt;"",'I4'!P28&lt;&gt;""),'I4'!P28,"")</f>
        <v/>
      </c>
      <c r="R169" s="1"/>
      <c r="S169" s="892" t="str">
        <f t="shared" si="200"/>
        <v/>
      </c>
      <c r="T169" s="895" t="str">
        <f>IF(OR(AND(p_localeconomy=TRUE,Q169&lt;=$H169,$H169&lt;&gt;"",Q169&lt;&gt;""),AND(p_localeconomy=TRUE,Q169&lt;$H169,$H169&lt;&gt;"",Q169&lt;&gt;"")),1,"")</f>
        <v/>
      </c>
      <c r="U169" s="708"/>
      <c r="V169" s="589" t="str">
        <f>IF(AND(code0&lt;&gt;"",'I4'!R28&lt;&gt;""),'I4'!R28,"")</f>
        <v/>
      </c>
      <c r="W169" s="1"/>
      <c r="X169" s="892" t="str">
        <f t="shared" si="201"/>
        <v/>
      </c>
      <c r="Y169" s="895" t="str">
        <f>IF(OR(AND(p_localeconomy=TRUE,V169&lt;=$H169,$H169&lt;&gt;"",V169&lt;&gt;""),AND(p_localeconomy=TRUE,V169&lt;$H169,$H169&lt;&gt;"",V169&lt;&gt;"")),1,"")</f>
        <v/>
      </c>
      <c r="Z169" s="708"/>
      <c r="AA169" s="589" t="str">
        <f>IF(AND(code0&lt;&gt;"",'I4'!T28&lt;&gt;""),'I4'!T28,"")</f>
        <v/>
      </c>
      <c r="AB169" s="1"/>
      <c r="AC169" s="892" t="str">
        <f t="shared" si="202"/>
        <v/>
      </c>
      <c r="AD169" s="895" t="str">
        <f>IF(OR(AND(p_localeconomy=TRUE,AA169&lt;=$H169,$H169&lt;&gt;"",AA169&lt;&gt;""),AND(p_localeconomy=TRUE,AA169&lt;$H169,$H169&lt;&gt;"",AA169&lt;&gt;"")),1,"")</f>
        <v/>
      </c>
      <c r="AE169" s="708"/>
      <c r="AF169" s="589" t="str">
        <f>IF(AND(code0&lt;&gt;"",'I4'!V28&lt;&gt;""),'I4'!V28,"")</f>
        <v/>
      </c>
      <c r="AG169" s="1"/>
      <c r="AH169" s="890" t="str">
        <f t="shared" si="203"/>
        <v/>
      </c>
      <c r="AI169" s="894" t="str">
        <f>IF(OR(AND(p_localeconomy=TRUE,AF169&lt;=$H169,$H169&lt;&gt;"",AF169&lt;&gt;""),AND(p_localeconomy=TRUE,AF169&lt;$H169,$H169&lt;&gt;"",AF169&lt;&gt;"")),1,"")</f>
        <v/>
      </c>
      <c r="AJ169" s="706"/>
      <c r="AK169" s="900">
        <f>MAX($H169,$L169,$Q169,$V169,$AA169,$AF169)</f>
        <v>0</v>
      </c>
      <c r="AL169" s="31"/>
      <c r="AM169" s="29"/>
      <c r="AN169" s="29"/>
      <c r="AO169" s="29"/>
      <c r="AP169" s="29"/>
    </row>
    <row r="170" spans="2:42" ht="16.5" customHeight="1">
      <c r="B170" s="34"/>
      <c r="C170" s="49" t="s">
        <v>24</v>
      </c>
      <c r="D170" s="49"/>
      <c r="F170" s="67"/>
      <c r="G170" s="67"/>
      <c r="H170" s="417"/>
      <c r="I170" s="1"/>
      <c r="J170" s="709"/>
      <c r="K170" s="707"/>
      <c r="L170" s="417"/>
      <c r="M170" s="1"/>
      <c r="N170" s="709"/>
      <c r="O170" s="716"/>
      <c r="P170" s="707"/>
      <c r="Q170" s="417"/>
      <c r="R170" s="1"/>
      <c r="S170" s="709"/>
      <c r="T170" s="711"/>
      <c r="U170" s="707"/>
      <c r="V170" s="417"/>
      <c r="W170" s="1"/>
      <c r="X170" s="709"/>
      <c r="Y170" s="711"/>
      <c r="Z170" s="707"/>
      <c r="AA170" s="417"/>
      <c r="AB170" s="1"/>
      <c r="AC170" s="709"/>
      <c r="AD170" s="711"/>
      <c r="AE170" s="707"/>
      <c r="AF170" s="417"/>
      <c r="AG170" s="1"/>
      <c r="AH170" s="709"/>
      <c r="AI170" s="711"/>
      <c r="AJ170" s="707"/>
      <c r="AK170" s="707"/>
      <c r="AL170" s="36"/>
      <c r="AM170" s="29"/>
      <c r="AN170" s="29"/>
      <c r="AO170" s="29"/>
      <c r="AP170" s="29"/>
    </row>
    <row r="171" spans="2:42" ht="16.5" customHeight="1">
      <c r="B171" s="34"/>
      <c r="C171" s="49"/>
      <c r="D171" s="47" t="s">
        <v>382</v>
      </c>
      <c r="F171" s="190" t="str">
        <f>IF('I4'!G30="","",'I4'!G30)</f>
        <v/>
      </c>
      <c r="G171" s="190"/>
      <c r="H171" s="588" t="str">
        <f>IF(AND(code0&lt;&gt;"",'I4'!L30&lt;&gt;""),'I4'!L30,"")</f>
        <v/>
      </c>
      <c r="I171" s="1"/>
      <c r="J171" s="890" t="str">
        <f t="shared" ref="J171:J175" si="204">IF(H171=$AK171,1,"")</f>
        <v/>
      </c>
      <c r="K171" s="707"/>
      <c r="L171" s="587" t="str">
        <f>IF(AND(code0&lt;&gt;"",'I4'!N30&lt;&gt;""),'I4'!N30,"")</f>
        <v/>
      </c>
      <c r="M171" s="1"/>
      <c r="N171" s="890" t="str">
        <f t="shared" ref="N171:N175" si="205">IF(L171=$AK171,1,"")</f>
        <v/>
      </c>
      <c r="O171" s="894" t="str">
        <f>IF(OR(AND(p_safety=TRUE,L171&gt;=$H171,$H171&lt;&gt;"",L171&lt;&gt;""),AND(p_safety=TRUE,L171&gt;$H171,$H171&lt;&gt;"",L171&lt;&gt;"")),1,"")</f>
        <v/>
      </c>
      <c r="P171" s="707"/>
      <c r="Q171" s="587" t="str">
        <f>IF(AND(code0&lt;&gt;"",'I4'!P30&lt;&gt;""),'I4'!P30,"")</f>
        <v/>
      </c>
      <c r="R171" s="1"/>
      <c r="S171" s="890" t="str">
        <f t="shared" ref="S171:S175" si="206">IF(Q171=$AK171,1,"")</f>
        <v/>
      </c>
      <c r="T171" s="894" t="str">
        <f>IF(OR(AND(p_safety=TRUE,Q171&gt;=$H171,$H171&lt;&gt;"",Q171&lt;&gt;""),AND(p_safety=TRUE,Q171&gt;$H171,$H171&lt;&gt;"",Q171&lt;&gt;"")),1,"")</f>
        <v/>
      </c>
      <c r="U171" s="707"/>
      <c r="V171" s="587" t="str">
        <f>IF(AND(code0&lt;&gt;"",'I4'!R30&lt;&gt;""),'I4'!R30,"")</f>
        <v/>
      </c>
      <c r="W171" s="1"/>
      <c r="X171" s="890" t="str">
        <f t="shared" ref="X171:X175" si="207">IF(V171=$AK171,1,"")</f>
        <v/>
      </c>
      <c r="Y171" s="890" t="str">
        <f>IF(OR(AND(p_safety=TRUE,V171&gt;=$H171,$H171&lt;&gt;"",V171&lt;&gt;""),AND(p_safety=TRUE,V171&gt;$H171,$H171&lt;&gt;"",V171&lt;&gt;"")),1,"")</f>
        <v/>
      </c>
      <c r="Z171" s="707"/>
      <c r="AA171" s="587" t="str">
        <f>IF(AND(code0&lt;&gt;"",'I4'!T30&lt;&gt;""),'I4'!T30,"")</f>
        <v/>
      </c>
      <c r="AB171" s="1"/>
      <c r="AC171" s="890" t="str">
        <f t="shared" ref="AC171:AC175" si="208">IF(AA171=$AK171,1,"")</f>
        <v/>
      </c>
      <c r="AD171" s="890" t="str">
        <f>IF(OR(AND(p_safety=TRUE,AA171&gt;=$H171,$H171&lt;&gt;"",AA171&lt;&gt;""),AND(p_safety=TRUE,AA171&gt;$H171,$H171&lt;&gt;"",AA171&lt;&gt;"")),1,"")</f>
        <v/>
      </c>
      <c r="AE171" s="707"/>
      <c r="AF171" s="587" t="str">
        <f>IF(AND(code0&lt;&gt;"",'I4'!V30&lt;&gt;""),'I4'!V30,"")</f>
        <v/>
      </c>
      <c r="AG171" s="1"/>
      <c r="AH171" s="890" t="str">
        <f t="shared" ref="AH171:AH175" si="209">IF(AF171=$AK171,1,"")</f>
        <v/>
      </c>
      <c r="AI171" s="890" t="str">
        <f>IF(OR(AND(p_safety=TRUE,AF171&gt;=$H171,$H171&lt;&gt;"",AF171&lt;&gt;""),AND(p_safety=TRUE,AF171&gt;$H171,$H171&lt;&gt;"",AF171&lt;&gt;"")),1,"")</f>
        <v/>
      </c>
      <c r="AJ171" s="707"/>
      <c r="AK171" s="900">
        <f>MIN($H171,$L171,$Q171,$V171,$AA171,$AF171)</f>
        <v>0</v>
      </c>
      <c r="AL171" s="36"/>
      <c r="AM171" s="29"/>
      <c r="AN171" s="29"/>
      <c r="AO171" s="29"/>
      <c r="AP171" s="29"/>
    </row>
    <row r="172" spans="2:42" ht="16.5" customHeight="1">
      <c r="B172" s="34"/>
      <c r="C172" s="49"/>
      <c r="D172" s="47" t="s">
        <v>413</v>
      </c>
      <c r="F172" s="190" t="str">
        <f>IF('I4'!G31="","",'I4'!G31)</f>
        <v/>
      </c>
      <c r="G172" s="190"/>
      <c r="H172" s="588" t="str">
        <f>IF(AND(code0&lt;&gt;"",'I4'!L31&lt;&gt;""),'I4'!L31,"")</f>
        <v/>
      </c>
      <c r="I172" s="1"/>
      <c r="J172" s="890" t="str">
        <f t="shared" si="204"/>
        <v/>
      </c>
      <c r="K172" s="707"/>
      <c r="L172" s="587" t="str">
        <f>IF(AND(code0&lt;&gt;"",'I4'!N31&lt;&gt;""),'I4'!N31,"")</f>
        <v/>
      </c>
      <c r="M172" s="1"/>
      <c r="N172" s="890" t="str">
        <f t="shared" si="205"/>
        <v/>
      </c>
      <c r="O172" s="894" t="str">
        <f>IF(OR(AND(p_safety=TRUE,L172&gt;=$H172,$H172&lt;&gt;"",L172&lt;&gt;""),AND(p_safety=TRUE,L172&gt;$H172,$H172&lt;&gt;"",L172&lt;&gt;"")),1,"")</f>
        <v/>
      </c>
      <c r="P172" s="707"/>
      <c r="Q172" s="587" t="str">
        <f>IF(AND(code0&lt;&gt;"",'I4'!P31&lt;&gt;""),'I4'!P31,"")</f>
        <v/>
      </c>
      <c r="R172" s="1"/>
      <c r="S172" s="890" t="str">
        <f t="shared" si="206"/>
        <v/>
      </c>
      <c r="T172" s="894" t="str">
        <f>IF(OR(AND(p_safety=TRUE,Q172&gt;=$H172,$H172&lt;&gt;"",Q172&lt;&gt;""),AND(p_safety=TRUE,Q172&gt;$H172,$H172&lt;&gt;"",Q172&lt;&gt;"")),1,"")</f>
        <v/>
      </c>
      <c r="U172" s="707"/>
      <c r="V172" s="587" t="str">
        <f>IF(AND(code0&lt;&gt;"",'I4'!R31&lt;&gt;""),'I4'!R31,"")</f>
        <v/>
      </c>
      <c r="W172" s="1"/>
      <c r="X172" s="890" t="str">
        <f t="shared" si="207"/>
        <v/>
      </c>
      <c r="Y172" s="890" t="str">
        <f>IF(OR(AND(p_safety=TRUE,V172&gt;=$H172,$H172&lt;&gt;"",V172&lt;&gt;""),AND(p_safety=TRUE,V172&gt;$H172,$H172&lt;&gt;"",V172&lt;&gt;"")),1,"")</f>
        <v/>
      </c>
      <c r="Z172" s="707"/>
      <c r="AA172" s="587" t="str">
        <f>IF(AND(code0&lt;&gt;"",'I4'!T31&lt;&gt;""),'I4'!T31,"")</f>
        <v/>
      </c>
      <c r="AB172" s="1"/>
      <c r="AC172" s="890" t="str">
        <f t="shared" si="208"/>
        <v/>
      </c>
      <c r="AD172" s="890" t="str">
        <f>IF(OR(AND(p_safety=TRUE,AA172&gt;=$H172,$H172&lt;&gt;"",AA172&lt;&gt;""),AND(p_safety=TRUE,AA172&gt;$H172,$H172&lt;&gt;"",AA172&lt;&gt;"")),1,"")</f>
        <v/>
      </c>
      <c r="AE172" s="707"/>
      <c r="AF172" s="587" t="str">
        <f>IF(AND(code0&lt;&gt;"",'I4'!V31&lt;&gt;""),'I4'!V31,"")</f>
        <v/>
      </c>
      <c r="AG172" s="1"/>
      <c r="AH172" s="890" t="str">
        <f t="shared" si="209"/>
        <v/>
      </c>
      <c r="AI172" s="890" t="str">
        <f>IF(OR(AND(p_safety=TRUE,AF172&gt;=$H172,$H172&lt;&gt;"",AF172&lt;&gt;""),AND(p_safety=TRUE,AF172&gt;$H172,$H172&lt;&gt;"",AF172&lt;&gt;"")),1,"")</f>
        <v/>
      </c>
      <c r="AJ172" s="707"/>
      <c r="AK172" s="900">
        <f>MIN($H172,$L172,$Q172,$V172,$AA172,$AF172)</f>
        <v>0</v>
      </c>
      <c r="AL172" s="36"/>
      <c r="AM172" s="29"/>
      <c r="AN172" s="29"/>
      <c r="AO172" s="29"/>
      <c r="AP172" s="29"/>
    </row>
    <row r="173" spans="2:42" ht="16.5" customHeight="1">
      <c r="B173" s="34"/>
      <c r="C173" s="49"/>
      <c r="D173" s="47" t="s">
        <v>384</v>
      </c>
      <c r="F173" s="190" t="str">
        <f>IF('I4'!G32="","",'I4'!G32)</f>
        <v/>
      </c>
      <c r="G173" s="190"/>
      <c r="H173" s="588" t="str">
        <f>IF(AND(code0&lt;&gt;"",'I4'!L32&lt;&gt;""),'I4'!L32,"")</f>
        <v/>
      </c>
      <c r="I173" s="1"/>
      <c r="J173" s="890" t="str">
        <f t="shared" si="204"/>
        <v/>
      </c>
      <c r="K173" s="707"/>
      <c r="L173" s="587" t="str">
        <f>IF(AND(code0&lt;&gt;"",'I4'!N32&lt;&gt;""),'I4'!N32,"")</f>
        <v/>
      </c>
      <c r="M173" s="1"/>
      <c r="N173" s="890" t="str">
        <f t="shared" si="205"/>
        <v/>
      </c>
      <c r="O173" s="894" t="str">
        <f>IF(OR(AND(p_safety=TRUE,L173&gt;=$H173,$H173&lt;&gt;"",L173&lt;&gt;""),AND(p_safety=TRUE,L173&gt;$H173,$H173&lt;&gt;"",L173&lt;&gt;"")),1,"")</f>
        <v/>
      </c>
      <c r="P173" s="707"/>
      <c r="Q173" s="587" t="str">
        <f>IF(AND(code0&lt;&gt;"",'I4'!P32&lt;&gt;""),'I4'!P32,"")</f>
        <v/>
      </c>
      <c r="R173" s="1"/>
      <c r="S173" s="890" t="str">
        <f t="shared" si="206"/>
        <v/>
      </c>
      <c r="T173" s="894" t="str">
        <f>IF(OR(AND(p_safety=TRUE,Q173&gt;=$H173,$H173&lt;&gt;"",Q173&lt;&gt;""),AND(p_safety=TRUE,Q173&gt;$H173,$H173&lt;&gt;"",Q173&lt;&gt;"")),1,"")</f>
        <v/>
      </c>
      <c r="U173" s="707"/>
      <c r="V173" s="587" t="str">
        <f>IF(AND(code0&lt;&gt;"",'I4'!R32&lt;&gt;""),'I4'!R32,"")</f>
        <v/>
      </c>
      <c r="W173" s="1"/>
      <c r="X173" s="890" t="str">
        <f t="shared" si="207"/>
        <v/>
      </c>
      <c r="Y173" s="890" t="str">
        <f>IF(OR(AND(p_safety=TRUE,V173&gt;=$H173,$H173&lt;&gt;"",V173&lt;&gt;""),AND(p_safety=TRUE,V173&gt;$H173,$H173&lt;&gt;"",V173&lt;&gt;"")),1,"")</f>
        <v/>
      </c>
      <c r="Z173" s="707"/>
      <c r="AA173" s="587" t="str">
        <f>IF(AND(code0&lt;&gt;"",'I4'!T32&lt;&gt;""),'I4'!T32,"")</f>
        <v/>
      </c>
      <c r="AB173" s="1"/>
      <c r="AC173" s="890" t="str">
        <f t="shared" si="208"/>
        <v/>
      </c>
      <c r="AD173" s="890" t="str">
        <f>IF(OR(AND(p_safety=TRUE,AA173&gt;=$H173,$H173&lt;&gt;"",AA173&lt;&gt;""),AND(p_safety=TRUE,AA173&gt;$H173,$H173&lt;&gt;"",AA173&lt;&gt;"")),1,"")</f>
        <v/>
      </c>
      <c r="AE173" s="707"/>
      <c r="AF173" s="587" t="str">
        <f>IF(AND(code0&lt;&gt;"",'I4'!V32&lt;&gt;""),'I4'!V32,"")</f>
        <v/>
      </c>
      <c r="AG173" s="1"/>
      <c r="AH173" s="890" t="str">
        <f t="shared" si="209"/>
        <v/>
      </c>
      <c r="AI173" s="890" t="str">
        <f>IF(OR(AND(p_safety=TRUE,AF173&gt;=$H173,$H173&lt;&gt;"",AF173&lt;&gt;""),AND(p_safety=TRUE,AF173&gt;$H173,$H173&lt;&gt;"",AF173&lt;&gt;"")),1,"")</f>
        <v/>
      </c>
      <c r="AJ173" s="707"/>
      <c r="AK173" s="900">
        <f>MIN($H173,$L173,$Q173,$V173,$AA173,$AF173)</f>
        <v>0</v>
      </c>
      <c r="AL173" s="36"/>
      <c r="AM173" s="29"/>
      <c r="AN173" s="29"/>
      <c r="AO173" s="29"/>
      <c r="AP173" s="29"/>
    </row>
    <row r="174" spans="2:42" ht="16.5" customHeight="1">
      <c r="B174" s="34"/>
      <c r="C174" s="49"/>
      <c r="D174" s="47" t="s">
        <v>385</v>
      </c>
      <c r="F174" s="190" t="str">
        <f>IF('I4'!G33="","",'I4'!G33)</f>
        <v/>
      </c>
      <c r="G174" s="190"/>
      <c r="H174" s="588" t="str">
        <f>IF(AND(code0&lt;&gt;"",'I4'!L33&lt;&gt;""),'I4'!L33,"")</f>
        <v/>
      </c>
      <c r="I174" s="1"/>
      <c r="J174" s="890" t="str">
        <f t="shared" si="204"/>
        <v/>
      </c>
      <c r="K174" s="707"/>
      <c r="L174" s="587" t="str">
        <f>IF(AND(code0&lt;&gt;"",'I4'!N33&lt;&gt;""),'I4'!N33,"")</f>
        <v/>
      </c>
      <c r="M174" s="1"/>
      <c r="N174" s="890" t="str">
        <f t="shared" si="205"/>
        <v/>
      </c>
      <c r="O174" s="894" t="str">
        <f>IF(OR(AND(p_safety=TRUE,L174&gt;=$H174,$H174&lt;&gt;"",L174&lt;&gt;""),AND(p_safety=TRUE,L174&gt;$H174,$H174&lt;&gt;"",L174&lt;&gt;"")),1,"")</f>
        <v/>
      </c>
      <c r="P174" s="707"/>
      <c r="Q174" s="587" t="str">
        <f>IF(AND(code0&lt;&gt;"",'I4'!P33&lt;&gt;""),'I4'!P33,"")</f>
        <v/>
      </c>
      <c r="R174" s="1"/>
      <c r="S174" s="890" t="str">
        <f t="shared" si="206"/>
        <v/>
      </c>
      <c r="T174" s="894" t="str">
        <f>IF(OR(AND(p_safety=TRUE,Q174&gt;=$H174,$H174&lt;&gt;"",Q174&lt;&gt;""),AND(p_safety=TRUE,Q174&gt;$H174,$H174&lt;&gt;"",Q174&lt;&gt;"")),1,"")</f>
        <v/>
      </c>
      <c r="U174" s="707"/>
      <c r="V174" s="587" t="str">
        <f>IF(AND(code0&lt;&gt;"",'I4'!R33&lt;&gt;""),'I4'!R33,"")</f>
        <v/>
      </c>
      <c r="W174" s="1"/>
      <c r="X174" s="890" t="str">
        <f t="shared" si="207"/>
        <v/>
      </c>
      <c r="Y174" s="890" t="str">
        <f>IF(OR(AND(p_safety=TRUE,V174&gt;=$H174,$H174&lt;&gt;"",V174&lt;&gt;""),AND(p_safety=TRUE,V174&gt;$H174,$H174&lt;&gt;"",V174&lt;&gt;"")),1,"")</f>
        <v/>
      </c>
      <c r="Z174" s="707"/>
      <c r="AA174" s="587" t="str">
        <f>IF(AND(code0&lt;&gt;"",'I4'!T33&lt;&gt;""),'I4'!T33,"")</f>
        <v/>
      </c>
      <c r="AB174" s="1"/>
      <c r="AC174" s="890" t="str">
        <f t="shared" si="208"/>
        <v/>
      </c>
      <c r="AD174" s="890" t="str">
        <f>IF(OR(AND(p_safety=TRUE,AA174&gt;=$H174,$H174&lt;&gt;"",AA174&lt;&gt;""),AND(p_safety=TRUE,AA174&gt;$H174,$H174&lt;&gt;"",AA174&lt;&gt;"")),1,"")</f>
        <v/>
      </c>
      <c r="AE174" s="707"/>
      <c r="AF174" s="587" t="str">
        <f>IF(AND(code0&lt;&gt;"",'I4'!V33&lt;&gt;""),'I4'!V33,"")</f>
        <v/>
      </c>
      <c r="AG174" s="1"/>
      <c r="AH174" s="890" t="str">
        <f t="shared" si="209"/>
        <v/>
      </c>
      <c r="AI174" s="890" t="str">
        <f>IF(OR(AND(p_safety=TRUE,AF174&gt;=$H174,$H174&lt;&gt;"",AF174&lt;&gt;""),AND(p_safety=TRUE,AF174&gt;$H174,$H174&lt;&gt;"",AF174&lt;&gt;"")),1,"")</f>
        <v/>
      </c>
      <c r="AJ174" s="707"/>
      <c r="AK174" s="900">
        <f>MIN($H174,$L174,$Q174,$V174,$AA174,$AF174)</f>
        <v>0</v>
      </c>
      <c r="AL174" s="36"/>
      <c r="AM174" s="29"/>
      <c r="AN174" s="29"/>
      <c r="AO174" s="29"/>
      <c r="AP174" s="29"/>
    </row>
    <row r="175" spans="2:42" ht="15" customHeight="1">
      <c r="B175" s="30"/>
      <c r="C175" s="29"/>
      <c r="D175" s="47" t="s">
        <v>27</v>
      </c>
      <c r="F175" s="182" t="s">
        <v>553</v>
      </c>
      <c r="G175" s="372" t="s">
        <v>199</v>
      </c>
      <c r="H175" s="695" t="str">
        <f>comsev0</f>
        <v/>
      </c>
      <c r="I175" s="1"/>
      <c r="J175" s="890" t="str">
        <f t="shared" si="204"/>
        <v/>
      </c>
      <c r="K175" s="702"/>
      <c r="L175" s="695" t="str">
        <f>comsev1</f>
        <v/>
      </c>
      <c r="M175" s="1"/>
      <c r="N175" s="890" t="str">
        <f t="shared" si="205"/>
        <v/>
      </c>
      <c r="O175" s="894" t="str">
        <f>IF(OR(AND(OR(p_comsev=TRUE,p_peds_cross=2,p_pedsrm_cross=2),L175&gt;=$H175,$H175&lt;&gt;"",L175&lt;&gt;""),AND(OR(p_comsev=TRUE,p_peds_cross=1,p_pedsrm_cross=1),L175&gt;$H175,$H175&lt;&gt;"",L175&lt;&gt;"")),1,"")</f>
        <v/>
      </c>
      <c r="P175" s="702"/>
      <c r="Q175" s="695" t="str">
        <f>comsev2</f>
        <v/>
      </c>
      <c r="R175" s="1"/>
      <c r="S175" s="890" t="str">
        <f t="shared" si="206"/>
        <v/>
      </c>
      <c r="T175" s="894" t="str">
        <f>IF(OR(AND(OR(OR(p_comsev=TRUE,p_peds_cross=2,p_pedsrm_cross=2),p_peds_cross=2,p_pedsrm_cross=2),Q175&gt;=$H175,$H175&lt;&gt;"",Q175&lt;&gt;""),AND(OR(OR(p_comsev=TRUE,p_peds_cross=2,p_pedsrm_cross=2),p_peds_cross=2,p_pedsrm_cross=2),Q175&gt;$H175,$H175&lt;&gt;"",Q175&lt;&gt;"")),1,"")</f>
        <v/>
      </c>
      <c r="U175" s="702"/>
      <c r="V175" s="695" t="str">
        <f>comsev3</f>
        <v/>
      </c>
      <c r="W175" s="1"/>
      <c r="X175" s="890" t="str">
        <f t="shared" si="207"/>
        <v/>
      </c>
      <c r="Y175" s="890" t="str">
        <f>IF(OR(AND(OR(OR(p_comsev=TRUE,p_peds_cross=2,p_pedsrm_cross=2),p_peds_cross=2,p_pedsrm_cross=2),V175&gt;=$H175,$H175&lt;&gt;"",V175&lt;&gt;""),AND(OR(OR(p_comsev=TRUE,p_peds_cross=2,p_pedsrm_cross=2),p_peds_cross=2,p_pedsrm_cross=2),V175&gt;$H175,$H175&lt;&gt;"",V175&lt;&gt;"")),1,"")</f>
        <v/>
      </c>
      <c r="Z175" s="702"/>
      <c r="AA175" s="695" t="str">
        <f>comsev4</f>
        <v/>
      </c>
      <c r="AB175" s="1"/>
      <c r="AC175" s="890" t="str">
        <f t="shared" si="208"/>
        <v/>
      </c>
      <c r="AD175" s="890" t="str">
        <f>IF(OR(AND(OR(OR(p_comsev=TRUE,p_peds_cross=2,p_pedsrm_cross=2),p_peds_cross=2,p_pedsrm_cross=2),AA175&gt;=$H175,$H175&lt;&gt;"",AA175&lt;&gt;""),AND(OR(OR(p_comsev=TRUE,p_peds_cross=2,p_pedsrm_cross=2),p_peds_cross=2,p_pedsrm_cross=2),AA175&gt;$H175,$H175&lt;&gt;"",AA175&lt;&gt;"")),1,"")</f>
        <v/>
      </c>
      <c r="AE175" s="702"/>
      <c r="AF175" s="695" t="str">
        <f>comsev5</f>
        <v/>
      </c>
      <c r="AG175" s="1"/>
      <c r="AH175" s="890" t="str">
        <f t="shared" si="209"/>
        <v/>
      </c>
      <c r="AI175" s="890" t="str">
        <f>IF(OR(AND(OR(OR(p_comsev=TRUE,p_peds_cross=2,p_pedsrm_cross=2),p_peds_cross=2,p_pedsrm_cross=2),AF175&gt;=$H175,$H175&lt;&gt;"",AF175&lt;&gt;""),AND(OR(OR(p_comsev=TRUE,p_peds_cross=2,p_pedsrm_cross=2),p_peds_cross=2,p_pedsrm_cross=2),AF175&gt;$H175,$H175&lt;&gt;"",AF175&lt;&gt;"")),1,"")</f>
        <v/>
      </c>
      <c r="AJ175" s="702"/>
      <c r="AK175" s="900">
        <f>MIN($H175,$L175,$Q175,$V175,$AA175,$AF175)</f>
        <v>0</v>
      </c>
      <c r="AL175" s="31"/>
      <c r="AM175" s="29"/>
      <c r="AN175" s="29"/>
      <c r="AO175" s="29"/>
      <c r="AP175" s="29"/>
    </row>
    <row r="176" spans="2:42" ht="15" customHeight="1">
      <c r="B176" s="30"/>
      <c r="C176" s="29"/>
      <c r="D176" s="47" t="s">
        <v>28</v>
      </c>
      <c r="F176" s="190" t="str">
        <f>IF('I4'!G34="","",'I4'!G34)</f>
        <v/>
      </c>
      <c r="G176" s="190"/>
      <c r="H176" s="932" t="str">
        <f>IF(AND(code0&lt;&gt;"",'I4'!L34&lt;&gt;""),'I4'!L34,"")</f>
        <v/>
      </c>
      <c r="I176" s="1"/>
      <c r="J176" s="890" t="str">
        <f t="shared" ref="J176:J182" si="210">IF(AND(H176&gt;0,H176=$AK176),1,"")</f>
        <v/>
      </c>
      <c r="K176" s="702"/>
      <c r="L176" s="932" t="str">
        <f>IF(AND(code0&lt;&gt;"",'I4'!N34&lt;&gt;""),'I4'!N34,"")</f>
        <v/>
      </c>
      <c r="M176" s="1"/>
      <c r="N176" s="890" t="str">
        <f>IF(AND(L176&gt;0,L176=$AK176),1,"")</f>
        <v/>
      </c>
      <c r="O176" s="894" t="str">
        <f>IF(OR(AND(p_security=TRUE,L176&lt;=$H176,$H176&lt;&gt;"",L176&lt;&gt;""),AND(p_security=TRUE,L176&lt;$H176,$H176&lt;&gt;"",L176&lt;&gt;"")),1,"")</f>
        <v/>
      </c>
      <c r="P176" s="702"/>
      <c r="Q176" s="932" t="str">
        <f>IF(AND(code0&lt;&gt;"",'I4'!P34&lt;&gt;""),'I4'!P34,"")</f>
        <v/>
      </c>
      <c r="R176" s="1"/>
      <c r="S176" s="890" t="str">
        <f>IF(AND(Q176&gt;0,Q176=$AK176),1,"")</f>
        <v/>
      </c>
      <c r="T176" s="894" t="str">
        <f>IF(OR(AND(p_security=TRUE,Q176&lt;=$H176,$H176&lt;&gt;"",Q176&lt;&gt;""),AND(p_security=TRUE,Q176&lt;$H176,$H176&lt;&gt;"",Q176&lt;&gt;"")),1,"")</f>
        <v/>
      </c>
      <c r="U176" s="702"/>
      <c r="V176" s="932" t="str">
        <f>IF(AND(code0&lt;&gt;"",'I4'!R34&lt;&gt;""),'I4'!R34,"")</f>
        <v/>
      </c>
      <c r="W176" s="1"/>
      <c r="X176" s="890" t="str">
        <f>IF(AND(V176&gt;0,V176=$AK176),1,"")</f>
        <v/>
      </c>
      <c r="Y176" s="890" t="str">
        <f>IF(OR(AND(p_security=TRUE,V176&lt;=$H176,$H176&lt;&gt;"",V176&lt;&gt;""),AND(p_security=TRUE,V176&lt;$H176,$H176&lt;&gt;"",V176&lt;&gt;"")),1,"")</f>
        <v/>
      </c>
      <c r="Z176" s="702"/>
      <c r="AA176" s="932" t="str">
        <f>IF(AND(code0&lt;&gt;"",'I4'!T34&lt;&gt;""),'I4'!T34,"")</f>
        <v/>
      </c>
      <c r="AB176" s="1"/>
      <c r="AC176" s="890" t="str">
        <f>IF(AND(AA176&gt;0,AA176=$AK176),1,"")</f>
        <v/>
      </c>
      <c r="AD176" s="890" t="str">
        <f>IF(OR(AND(p_security=TRUE,AA176&lt;=$H176,$H176&lt;&gt;"",AA176&lt;&gt;""),AND(p_security=TRUE,AA176&lt;$H176,$H176&lt;&gt;"",AA176&lt;&gt;"")),1,"")</f>
        <v/>
      </c>
      <c r="AE176" s="702"/>
      <c r="AF176" s="932" t="str">
        <f>IF(AND(code0&lt;&gt;"",'I4'!V34&lt;&gt;""),'I4'!V34,"")</f>
        <v/>
      </c>
      <c r="AG176" s="1"/>
      <c r="AH176" s="890" t="str">
        <f>IF(AND(AF176&gt;0,AF176=$AK176),1,"")</f>
        <v/>
      </c>
      <c r="AI176" s="890" t="str">
        <f>IF(OR(AND(p_security=TRUE,AF176&lt;=$H176,$H176&lt;&gt;"",AF176&lt;&gt;""),AND(p_security=TRUE,AF176&lt;$H176,$H176&lt;&gt;"",AF176&lt;&gt;"")),1,"")</f>
        <v/>
      </c>
      <c r="AJ176" s="702"/>
      <c r="AK176" s="900">
        <f>MAX($H176,$L176,$Q176,$V176,$AA176,$AF176)</f>
        <v>0</v>
      </c>
      <c r="AL176" s="31"/>
      <c r="AM176" s="29"/>
      <c r="AN176" s="29"/>
      <c r="AO176" s="29"/>
      <c r="AP176" s="29"/>
    </row>
    <row r="177" spans="2:42" ht="15" customHeight="1">
      <c r="B177" s="30"/>
      <c r="C177" s="29"/>
      <c r="D177" s="47" t="s">
        <v>26</v>
      </c>
      <c r="F177" s="190" t="str">
        <f>IF('I4'!G35="","",'I4'!G35)</f>
        <v/>
      </c>
      <c r="G177" s="190"/>
      <c r="H177" s="932" t="str">
        <f>IF(AND(code0&lt;&gt;"",'I4'!L35&lt;&gt;""),'I4'!L35,"")</f>
        <v/>
      </c>
      <c r="I177" s="1"/>
      <c r="J177" s="890" t="str">
        <f t="shared" si="210"/>
        <v/>
      </c>
      <c r="K177" s="702"/>
      <c r="L177" s="932" t="str">
        <f>IF(AND(code0&lt;&gt;"",'I4'!N35&lt;&gt;""),'I4'!N35,"")</f>
        <v/>
      </c>
      <c r="M177" s="1"/>
      <c r="N177" s="890" t="str">
        <f>IF(AND(L177&gt;0,L177=$AK177),1,"")</f>
        <v/>
      </c>
      <c r="O177" s="894" t="str">
        <f>IF(OR(AND(p_physicalactivity=TRUE,L177&gt;=$H177,$H177&lt;&gt;"",L177&lt;&gt;""),AND(p_physicalactivity=TRUE,L177&gt;$H177,$H177&lt;&gt;"",L177&lt;&gt;"")),1,"")</f>
        <v/>
      </c>
      <c r="P177" s="702"/>
      <c r="Q177" s="932" t="str">
        <f>IF(AND(code0&lt;&gt;"",'I4'!P35&lt;&gt;""),'I4'!P35,"")</f>
        <v/>
      </c>
      <c r="R177" s="1"/>
      <c r="S177" s="890" t="str">
        <f>IF(AND(Q177&gt;0,Q177=$AK177),1,"")</f>
        <v/>
      </c>
      <c r="T177" s="894" t="str">
        <f>IF(OR(AND(p_physicalactivity=TRUE,Q177&gt;=$H177,$H177&lt;&gt;"",Q177&lt;&gt;""),AND(p_physicalactivity=TRUE,Q177&gt;$H177,$H177&lt;&gt;"",Q177&lt;&gt;"")),1,"")</f>
        <v/>
      </c>
      <c r="U177" s="702"/>
      <c r="V177" s="932" t="str">
        <f>IF(AND(code0&lt;&gt;"",'I4'!R35&lt;&gt;""),'I4'!R35,"")</f>
        <v/>
      </c>
      <c r="W177" s="1"/>
      <c r="X177" s="890" t="str">
        <f>IF(AND(V177&gt;0,V177=$AK177),1,"")</f>
        <v/>
      </c>
      <c r="Y177" s="890" t="str">
        <f>IF(OR(AND(p_physicalactivity=TRUE,V177&gt;=$H177,$H177&lt;&gt;"",V177&lt;&gt;""),AND(p_physicalactivity=TRUE,V177&gt;$H177,$H177&lt;&gt;"",V177&lt;&gt;"")),1,"")</f>
        <v/>
      </c>
      <c r="Z177" s="702"/>
      <c r="AA177" s="932" t="str">
        <f>IF(AND(code0&lt;&gt;"",'I4'!T35&lt;&gt;""),'I4'!T35,"")</f>
        <v/>
      </c>
      <c r="AB177" s="1"/>
      <c r="AC177" s="890" t="str">
        <f>IF(AND(AA177&gt;0,AA177=$AK177),1,"")</f>
        <v/>
      </c>
      <c r="AD177" s="890" t="str">
        <f>IF(OR(AND(p_physicalactivity=TRUE,AA177&gt;=$H177,$H177&lt;&gt;"",AA177&lt;&gt;""),AND(p_physicalactivity=TRUE,AA177&gt;$H177,$H177&lt;&gt;"",AA177&lt;&gt;"")),1,"")</f>
        <v/>
      </c>
      <c r="AE177" s="702"/>
      <c r="AF177" s="932" t="str">
        <f>IF(AND(code0&lt;&gt;"",'I4'!V35&lt;&gt;""),'I4'!V35,"")</f>
        <v/>
      </c>
      <c r="AG177" s="1"/>
      <c r="AH177" s="890" t="str">
        <f>IF(AND(AF177&gt;0,AF177=$AK177),1,"")</f>
        <v/>
      </c>
      <c r="AI177" s="890" t="str">
        <f>IF(OR(AND(p_physicalactivity=TRUE,AF177&gt;=$H177,$H177&lt;&gt;"",AF177&lt;&gt;""),AND(p_physicalactivity=TRUE,AF177&gt;$H177,$H177&lt;&gt;"",AF177&lt;&gt;"")),1,"")</f>
        <v/>
      </c>
      <c r="AJ177" s="702"/>
      <c r="AK177" s="900">
        <f>MAX($H177,$L177,$Q177,$V177,$AA177,$AF177)</f>
        <v>0</v>
      </c>
      <c r="AL177" s="31"/>
      <c r="AM177" s="29"/>
      <c r="AN177" s="29"/>
      <c r="AO177" s="29"/>
      <c r="AP177" s="29"/>
    </row>
    <row r="178" spans="2:42" ht="15" customHeight="1">
      <c r="B178" s="30"/>
      <c r="C178" s="29"/>
      <c r="D178" s="47" t="s">
        <v>270</v>
      </c>
      <c r="F178" s="190" t="str">
        <f>IF('I4'!G36="","",'I4'!G36)</f>
        <v/>
      </c>
      <c r="G178" s="190"/>
      <c r="H178" s="588" t="str">
        <f>IF(AND(code0&lt;&gt;"",'I4'!L36&lt;&gt;""),'I4'!L36,"")</f>
        <v/>
      </c>
      <c r="I178" s="1"/>
      <c r="J178" s="890" t="str">
        <f t="shared" si="210"/>
        <v/>
      </c>
      <c r="K178" s="702"/>
      <c r="L178" s="587" t="str">
        <f>IF(AND(code0&lt;&gt;"",'I4'!N36&lt;&gt;""),'I4'!N36,"")</f>
        <v/>
      </c>
      <c r="M178" s="1"/>
      <c r="N178" s="890" t="str">
        <f>IF(AND(L178&gt;0,L178=$AK178),1,"")</f>
        <v/>
      </c>
      <c r="O178" s="894" t="str">
        <f>IF(OR(AND(p_interaction=TRUE,L178&lt;=$H178,$H178&lt;&gt;"",L178&lt;&gt;""),AND(p_interaction=TRUE,L178&lt;$H178,$H178&lt;&gt;"",L178&lt;&gt;"")),1,"")</f>
        <v/>
      </c>
      <c r="P178" s="702"/>
      <c r="Q178" s="587" t="str">
        <f>IF(AND(code0&lt;&gt;"",'I4'!P36&lt;&gt;""),'I4'!P36,"")</f>
        <v/>
      </c>
      <c r="R178" s="1"/>
      <c r="S178" s="890" t="str">
        <f>IF(AND(Q178&gt;0,Q178=$AK178),1,"")</f>
        <v/>
      </c>
      <c r="T178" s="898" t="str">
        <f>IF(OR(AND(p_interaction=TRUE,Q178&lt;=$H178,$H178&lt;&gt;"",Q178&lt;&gt;""),AND(p_interaction=TRUE,Q178&lt;$H178,$H178&lt;&gt;"",Q178&lt;&gt;"")),1,"")</f>
        <v/>
      </c>
      <c r="U178" s="702"/>
      <c r="V178" s="587" t="str">
        <f>IF(AND(code0&lt;&gt;"",'I4'!R36&lt;&gt;""),'I4'!R36,"")</f>
        <v/>
      </c>
      <c r="W178" s="1"/>
      <c r="X178" s="890" t="str">
        <f>IF(AND(V178&gt;0,V178=$AK178),1,"")</f>
        <v/>
      </c>
      <c r="Y178" s="890" t="str">
        <f>IF(OR(AND(p_interaction=TRUE,V178&lt;=$H178,$H178&lt;&gt;"",V178&lt;&gt;""),AND(p_interaction=TRUE,V178&lt;$H178,$H178&lt;&gt;"",V178&lt;&gt;"")),1,"")</f>
        <v/>
      </c>
      <c r="Z178" s="702"/>
      <c r="AA178" s="587" t="str">
        <f>IF(AND(code0&lt;&gt;"",'I4'!T36&lt;&gt;""),'I4'!T36,"")</f>
        <v/>
      </c>
      <c r="AB178" s="1"/>
      <c r="AC178" s="890" t="str">
        <f>IF(AND(AA178&gt;0,AA178=$AK178),1,"")</f>
        <v/>
      </c>
      <c r="AD178" s="890" t="str">
        <f>IF(OR(AND(p_interaction=TRUE,AA178&lt;=$H178,$H178&lt;&gt;"",AA178&lt;&gt;""),AND(p_interaction=TRUE,AA178&lt;$H178,$H178&lt;&gt;"",AA178&lt;&gt;"")),1,"")</f>
        <v/>
      </c>
      <c r="AE178" s="702"/>
      <c r="AF178" s="587" t="str">
        <f>IF(AND(code0&lt;&gt;"",'I4'!V36&lt;&gt;""),'I4'!V36,"")</f>
        <v/>
      </c>
      <c r="AG178" s="1"/>
      <c r="AH178" s="890" t="str">
        <f>IF(AND(AF178&gt;0,AF178=$AK178),1,"")</f>
        <v/>
      </c>
      <c r="AI178" s="890" t="str">
        <f>IF(OR(AND(p_interaction=TRUE,AF178&lt;=$H178,$H178&lt;&gt;"",AF178&lt;&gt;""),AND(p_interaction=TRUE,AF178&lt;$H178,$H178&lt;&gt;"",AF178&lt;&gt;"")),1,"")</f>
        <v/>
      </c>
      <c r="AJ178" s="702"/>
      <c r="AK178" s="900">
        <f>MAX($H178,$L178,$Q178,$V178,$AA178,$AF178)</f>
        <v>0</v>
      </c>
      <c r="AL178" s="31"/>
      <c r="AM178" s="29"/>
      <c r="AN178" s="29"/>
      <c r="AO178" s="29"/>
      <c r="AP178" s="29"/>
    </row>
    <row r="179" spans="2:42" ht="15" customHeight="1">
      <c r="B179" s="30"/>
      <c r="C179" s="29"/>
      <c r="D179" s="47" t="s">
        <v>271</v>
      </c>
      <c r="F179" s="694" t="s">
        <v>740</v>
      </c>
      <c r="G179" s="190"/>
      <c r="H179" s="588" t="str">
        <f>IF(code0="","",IF(disab_pav0="Yes",IF(disab_cross0="Yes","Full","Only pavements"),IF(disab_cross0="Yes","Only crossings","None")))</f>
        <v/>
      </c>
      <c r="I179" s="1"/>
      <c r="J179" s="890" t="str">
        <f>IF(AND(H179&lt;&gt;"",H179=$AK179),1,"")</f>
        <v/>
      </c>
      <c r="K179" s="891" t="str">
        <f>IF(AND(H179&lt;&gt;"",H179&lt;&gt;"Full"),1,"")</f>
        <v/>
      </c>
      <c r="L179" s="588" t="str">
        <f>IF(code1="","",IF(disab_pav1="Yes",IF(disab_cross1="Yes","Full","Only pavements"),IF(disab_cross1="Yes","Only crossings","None")))</f>
        <v/>
      </c>
      <c r="M179" s="1"/>
      <c r="N179" s="890" t="str">
        <f>IF(AND(L179&lt;&gt;"",L179=$AK179),1,"")</f>
        <v/>
      </c>
      <c r="O179" s="894" t="str">
        <f>IF(OR(AND(p_inclusion=TRUE,L179&lt;&gt;"Full",L179&lt;&gt;""),AND(p_pedsrm_walk=2,L179&lt;&gt;"Full",L179&lt;&gt;"Only pavements",L179&lt;&gt;""),AND(p_pedsrm_cross=2,L179&lt;&gt;"Full",L179&lt;&gt;"Only crossings",L179&lt;&gt;"")),1,"")</f>
        <v/>
      </c>
      <c r="P179" s="891" t="str">
        <f>IF(AND(L179&lt;&gt;"",L179&lt;&gt;"Full"),1,"")</f>
        <v/>
      </c>
      <c r="Q179" s="588" t="str">
        <f>IF(code2="","",IF(disab_pav2="Yes",IF(disab_cross2="Yes","Full","Only pavements"),IF(disab_cross2="Yes","Only crossings","None")))</f>
        <v/>
      </c>
      <c r="R179" s="1"/>
      <c r="S179" s="890" t="str">
        <f>IF(AND(Q179&lt;&gt;"",Q179=$AK179),1,"")</f>
        <v/>
      </c>
      <c r="T179" s="894" t="str">
        <f>IF(OR(AND(p_inclusion=TRUE,Q179&lt;&gt;"Full",Q179&lt;&gt;""),AND(p_pedsrm_walk=2,Q179&lt;&gt;"Full",Q179&lt;&gt;"Only pavements",Q179&lt;&gt;""),AND(p_pedsrm_cross=2,Q179&lt;&gt;"Full",Q179&lt;&gt;"Only crossings",Q179&lt;&gt;"")),1,"")</f>
        <v/>
      </c>
      <c r="U179" s="891" t="str">
        <f>IF(AND(Q179&lt;&gt;"",Q179&lt;&gt;"Full"),1,"")</f>
        <v/>
      </c>
      <c r="V179" s="588" t="str">
        <f>IF(code3="","",IF(disab_pav3="Yes",IF(disab_cross3="Yes","Full","Only pavements"),IF(disab_cross3="Yes","Only crossings","None")))</f>
        <v/>
      </c>
      <c r="W179" s="1"/>
      <c r="X179" s="890" t="str">
        <f>IF(AND(V179&lt;&gt;"",V179=$AK179),1,"")</f>
        <v/>
      </c>
      <c r="Y179" s="894" t="str">
        <f>IF(OR(AND(p_inclusion=TRUE,V179&lt;&gt;"Full",V179&lt;&gt;""),AND(p_pedsrm_walk=2,V179&lt;&gt;"Full",V179&lt;&gt;"Only pavements",V179&lt;&gt;""),AND(p_pedsrm_cross=2,V179&lt;&gt;"Full",V179&lt;&gt;"Only crossings",V179&lt;&gt;"")),1,"")</f>
        <v/>
      </c>
      <c r="Z179" s="891" t="str">
        <f>IF(AND(V179&lt;&gt;"",V179&lt;&gt;"Full"),1,"")</f>
        <v/>
      </c>
      <c r="AA179" s="588" t="str">
        <f>IF(code4="","",IF(disab_pav4="Yes",IF(disab_cross4="Yes","Full","Only pavements"),IF(disab_cross4="Yes","Only crossings","None")))</f>
        <v/>
      </c>
      <c r="AB179" s="1"/>
      <c r="AC179" s="890" t="str">
        <f>IF(AND(AA179&lt;&gt;"",AA179=$AK179),1,"")</f>
        <v/>
      </c>
      <c r="AD179" s="894" t="str">
        <f>IF(OR(AND(p_inclusion=TRUE,AA179&lt;&gt;"Full",AA179&lt;&gt;""),AND(p_pedsrm_walk=2,AA179&lt;&gt;"Full",AA179&lt;&gt;"Only pavements",AA179&lt;&gt;""),AND(p_pedsrm_cross=2,AA179&lt;&gt;"Full",AA179&lt;&gt;"Only crossings",AA179&lt;&gt;"")),1,"")</f>
        <v/>
      </c>
      <c r="AE179" s="891" t="str">
        <f>IF(AND(AA179&lt;&gt;"",AA179&lt;&gt;"Full"),1,"")</f>
        <v/>
      </c>
      <c r="AF179" s="588" t="str">
        <f>IF(code5="","",IF(disab_pav5="Yes",IF(disab_cross5="Yes","Full","Only pavements"),IF(disab_cross5="Yes","Only crossings","None")))</f>
        <v/>
      </c>
      <c r="AG179" s="1"/>
      <c r="AH179" s="890" t="str">
        <f>IF(AND(AF179&lt;&gt;"",AF179=$AK179),1,"")</f>
        <v/>
      </c>
      <c r="AI179" s="894" t="str">
        <f>IF(OR(AND(p_inclusion=TRUE,AF179&lt;&gt;"Full",AF179&lt;&gt;""),AND(p_pedsrm_walk=2,AF179&lt;&gt;"Full",AF179&lt;&gt;"Only pavements",AF179&lt;&gt;""),AND(p_pedsrm_cross=2,AF179&lt;&gt;"Full",AF179&lt;&gt;"Only crossings",AF179&lt;&gt;"")),1,"")</f>
        <v/>
      </c>
      <c r="AJ179" s="891" t="str">
        <f>IF(AND(AF179&lt;&gt;"",AFF179&lt;&gt;"Full"),1,"")</f>
        <v/>
      </c>
      <c r="AK179" s="900" t="str">
        <f>IF(OR($H179="Full",$L179="Full",$Q179="Full",$V179="Full",$AA179="Full",$AF179="Full"),"Full","")</f>
        <v/>
      </c>
      <c r="AL179" s="31"/>
      <c r="AM179" s="29"/>
      <c r="AN179" s="29"/>
      <c r="AO179" s="29"/>
      <c r="AP179" s="29"/>
    </row>
    <row r="180" spans="2:42" ht="15" customHeight="1">
      <c r="B180" s="30"/>
      <c r="C180" s="59"/>
      <c r="D180" s="85" t="s">
        <v>272</v>
      </c>
      <c r="E180" s="59"/>
      <c r="F180" s="294" t="str">
        <f>IF('I4'!G37="","",'I4'!G37)</f>
        <v/>
      </c>
      <c r="G180" s="190"/>
      <c r="H180" s="590" t="str">
        <f>IF(AND(code0&lt;&gt;"",'I4'!L37&lt;&gt;""),'I4'!L37,"")</f>
        <v/>
      </c>
      <c r="I180" s="1"/>
      <c r="J180" s="892" t="str">
        <f t="shared" si="210"/>
        <v/>
      </c>
      <c r="K180" s="703"/>
      <c r="L180" s="589" t="str">
        <f>IF(AND(code0&lt;&gt;"",'I4'!N37&lt;&gt;""),'I4'!N37,"")</f>
        <v/>
      </c>
      <c r="M180" s="1"/>
      <c r="N180" s="892" t="str">
        <f>IF(AND(L180&gt;0,L180=$AK180),1,"")</f>
        <v/>
      </c>
      <c r="O180" s="895" t="str">
        <f>IF(OR(AND(p_wellbeing=TRUE,L180&lt;=$H180,$H180&lt;&gt;"",L180&lt;&gt;""),AND(p_wellbeing=TRUE,L180&lt;$H180,$H180&lt;&gt;"",L180&lt;&gt;"")),1,"")</f>
        <v/>
      </c>
      <c r="P180" s="703"/>
      <c r="Q180" s="589" t="str">
        <f>IF(AND(code0&lt;&gt;"",'I4'!P37&lt;&gt;""),'I4'!P37,"")</f>
        <v/>
      </c>
      <c r="R180" s="1"/>
      <c r="S180" s="892" t="str">
        <f>IF(AND(Q180&gt;0,Q180=$AK180),1,"")</f>
        <v/>
      </c>
      <c r="T180" s="895" t="str">
        <f>IF(OR(AND(p_wellbeing=TRUE,Q180&lt;=$H180,$H180&lt;&gt;"",Q180&lt;&gt;""),AND(p_wellbeing=TRUE,Q180&lt;$H180,$H180&lt;&gt;"",Q180&lt;&gt;"")),1,"")</f>
        <v/>
      </c>
      <c r="U180" s="703"/>
      <c r="V180" s="589" t="str">
        <f>IF(AND(code0&lt;&gt;"",'I4'!R37&lt;&gt;""),'I4'!R37,"")</f>
        <v/>
      </c>
      <c r="W180" s="1"/>
      <c r="X180" s="892" t="str">
        <f>IF(AND(V180&gt;0,V180=$AK180),1,"")</f>
        <v/>
      </c>
      <c r="Y180" s="892" t="str">
        <f>IF(OR(AND(p_wellbeing=TRUE,V180&lt;=$H180,$H180&lt;&gt;"",V180&lt;&gt;""),AND(p_wellbeing=TRUE,V180&lt;$H180,$H180&lt;&gt;"",V180&lt;&gt;"")),1,"")</f>
        <v/>
      </c>
      <c r="Z180" s="703"/>
      <c r="AA180" s="589" t="str">
        <f>IF(AND(code0&lt;&gt;"",'I4'!T37&lt;&gt;""),'I4'!T37,"")</f>
        <v/>
      </c>
      <c r="AB180" s="1"/>
      <c r="AC180" s="892" t="str">
        <f>IF(AND(AA180&gt;0,AA180=$AK180),1,"")</f>
        <v/>
      </c>
      <c r="AD180" s="892" t="str">
        <f>IF(OR(AND(p_wellbeing=TRUE,AA180&lt;=$H180,$H180&lt;&gt;"",AA180&lt;&gt;""),AND(p_wellbeing=TRUE,AA180&lt;$H180,$H180&lt;&gt;"",AA180&lt;&gt;"")),1,"")</f>
        <v/>
      </c>
      <c r="AE180" s="703"/>
      <c r="AF180" s="589" t="str">
        <f>IF(AND(code0&lt;&gt;"",'I4'!V37&lt;&gt;""),'I4'!V37,"")</f>
        <v/>
      </c>
      <c r="AG180" s="1"/>
      <c r="AH180" s="890" t="str">
        <f>IF(AND(AF180&gt;0,AF180=$AK180),1,"")</f>
        <v/>
      </c>
      <c r="AI180" s="890" t="str">
        <f>IF(OR(AND(p_wellbeing=TRUE,AF180&lt;=$H180,$H180&lt;&gt;"",AF180&lt;&gt;""),AND(p_wellbeing=TRUE,AF180&lt;$H180,$H180&lt;&gt;"",AF180&lt;&gt;"")),1,"")</f>
        <v/>
      </c>
      <c r="AJ180" s="702"/>
      <c r="AK180" s="900">
        <f>MAX($H180,$L180,$Q180,$V180,$AA180,$AF180)</f>
        <v>0</v>
      </c>
      <c r="AL180" s="31"/>
      <c r="AM180" s="29"/>
      <c r="AN180" s="29"/>
      <c r="AO180" s="29"/>
      <c r="AP180" s="29"/>
    </row>
    <row r="181" spans="2:42" ht="15" customHeight="1">
      <c r="B181" s="30"/>
      <c r="C181" s="209" t="s">
        <v>25</v>
      </c>
      <c r="D181" s="47"/>
      <c r="F181" s="190"/>
      <c r="G181" s="190"/>
      <c r="H181" s="399"/>
      <c r="I181" s="1"/>
      <c r="J181" s="710"/>
      <c r="K181" s="702"/>
      <c r="L181" s="399"/>
      <c r="M181" s="1"/>
      <c r="N181" s="710"/>
      <c r="O181" s="714"/>
      <c r="P181" s="702"/>
      <c r="Q181" s="399"/>
      <c r="R181" s="1"/>
      <c r="S181" s="710"/>
      <c r="T181" s="896"/>
      <c r="U181" s="702"/>
      <c r="V181" s="399"/>
      <c r="W181" s="1"/>
      <c r="X181" s="710"/>
      <c r="Y181" s="896"/>
      <c r="Z181" s="702"/>
      <c r="AA181" s="399"/>
      <c r="AB181" s="1"/>
      <c r="AC181" s="710"/>
      <c r="AD181" s="896"/>
      <c r="AE181" s="702"/>
      <c r="AF181" s="399"/>
      <c r="AG181" s="1"/>
      <c r="AH181" s="710"/>
      <c r="AI181" s="896"/>
      <c r="AJ181" s="702"/>
      <c r="AK181" s="702"/>
      <c r="AL181" s="31"/>
      <c r="AM181" s="29"/>
      <c r="AN181" s="29"/>
      <c r="AO181" s="29"/>
      <c r="AP181" s="29"/>
    </row>
    <row r="182" spans="2:42" ht="15" customHeight="1">
      <c r="B182" s="30"/>
      <c r="C182" s="209"/>
      <c r="D182" s="47" t="s">
        <v>273</v>
      </c>
      <c r="F182" s="694" t="s">
        <v>552</v>
      </c>
      <c r="G182" s="190"/>
      <c r="H182" s="696" t="str">
        <f>IF(OR(code0="",length=""),"",length*green0)</f>
        <v/>
      </c>
      <c r="I182" s="1"/>
      <c r="J182" s="890" t="str">
        <f t="shared" si="210"/>
        <v/>
      </c>
      <c r="K182" s="702"/>
      <c r="L182" s="696" t="str">
        <f>IF(OR(code1="",length=""),"",length*green1)</f>
        <v/>
      </c>
      <c r="M182" s="1"/>
      <c r="N182" s="890" t="str">
        <f>IF(AND(L182&gt;0,L182=$AK182),1,"")</f>
        <v/>
      </c>
      <c r="O182" s="897" t="str">
        <f>IF(OR(AND(p_green=TRUE,L182&lt;=$H182,$H182&lt;&gt;"",L182&lt;&gt;""),AND(p_green=TRUE,L182&lt;$H182,$H182&lt;&gt;"",L182&lt;&gt;"")),1,"")</f>
        <v/>
      </c>
      <c r="P182" s="702"/>
      <c r="Q182" s="696" t="str">
        <f>IF(OR(code2="",length=""),"",length*green2)</f>
        <v/>
      </c>
      <c r="R182" s="1"/>
      <c r="S182" s="890" t="str">
        <f>IF(AND(Q182&gt;0,Q182=$AK182),1,"")</f>
        <v/>
      </c>
      <c r="T182" s="894" t="str">
        <f>IF(OR(AND(p_green=TRUE,Q182&lt;=$H182,$H182&lt;&gt;"",Q182&lt;&gt;""),AND(p_green=TRUE,Q182&lt;$H182,$H182&lt;&gt;"",Q182&lt;&gt;"")),1,"")</f>
        <v/>
      </c>
      <c r="U182" s="702"/>
      <c r="V182" s="696" t="str">
        <f>IF(OR(code3="",length=""),"",length*green3)</f>
        <v/>
      </c>
      <c r="W182" s="1"/>
      <c r="X182" s="890" t="str">
        <f>IF(AND(V182&gt;0,V182=$AK182),1,"")</f>
        <v/>
      </c>
      <c r="Y182" s="894" t="str">
        <f>IF(OR(AND(p_green=TRUE,V182&lt;=$H182,$H182&lt;&gt;"",V182&lt;&gt;""),AND(p_green=TRUE,V182&lt;$H182,$H182&lt;&gt;"",V182&lt;&gt;"")),1,"")</f>
        <v/>
      </c>
      <c r="Z182" s="702"/>
      <c r="AA182" s="696" t="str">
        <f>IF(OR(code4="",length=""),"",length*green4)</f>
        <v/>
      </c>
      <c r="AB182" s="1"/>
      <c r="AC182" s="890" t="str">
        <f>IF(AND(AA182&gt;0,AA182=$AK182),1,"")</f>
        <v/>
      </c>
      <c r="AD182" s="894" t="str">
        <f>IF(OR(AND(p_green=TRUE,AA182&lt;=$H182,$H182&lt;&gt;"",AA182&lt;&gt;""),AND(p_green=TRUE,AA182&lt;$H182,$H182&lt;&gt;"",AA182&lt;&gt;"")),1,"")</f>
        <v/>
      </c>
      <c r="AE182" s="702"/>
      <c r="AF182" s="696" t="str">
        <f>IF(OR(code5="",length=""),"",length*green5)</f>
        <v/>
      </c>
      <c r="AG182" s="1"/>
      <c r="AH182" s="890" t="str">
        <f>IF(AND(AF182&gt;0,AF182=$AK182),1,"")</f>
        <v/>
      </c>
      <c r="AI182" s="894" t="str">
        <f>IF(OR(AND(p_green=TRUE,AF182&lt;=$H182,$H182&lt;&gt;"",AF182&lt;&gt;""),AND(p_green=TRUE,AF182&lt;$H182,$H182&lt;&gt;"",AF182&lt;&gt;"")),1,"")</f>
        <v/>
      </c>
      <c r="AJ182" s="702"/>
      <c r="AK182" s="900">
        <f>MAX($H182,$L182,$Q182,$V182,$AA182,$AF182)</f>
        <v>0</v>
      </c>
      <c r="AL182" s="31"/>
      <c r="AM182" s="29"/>
      <c r="AN182" s="29"/>
      <c r="AO182" s="29"/>
      <c r="AP182" s="29"/>
    </row>
    <row r="183" spans="2:42" ht="15" customHeight="1">
      <c r="B183" s="30"/>
      <c r="C183" s="209"/>
      <c r="D183" s="47" t="s">
        <v>389</v>
      </c>
      <c r="E183" s="45"/>
      <c r="F183" s="190" t="str">
        <f>IF('I4'!G39="","",'I4'!G39)</f>
        <v/>
      </c>
      <c r="G183" s="190"/>
      <c r="H183" s="587" t="str">
        <f>IF(AND(code0&lt;&gt;"",'I4'!L39&lt;&gt;""),'I4'!L39,"")</f>
        <v/>
      </c>
      <c r="I183" s="1"/>
      <c r="J183" s="890" t="str">
        <f t="shared" ref="J183:J190" si="211">IF(H183=$AK183,1,"")</f>
        <v/>
      </c>
      <c r="K183" s="891" t="str">
        <f>IF(AND(H183&lt;&gt;"",H183&gt;standard_pm10),1,"")</f>
        <v/>
      </c>
      <c r="L183" s="587" t="str">
        <f>IF(AND(code0&lt;&gt;"",'I4'!N39&lt;&gt;""),'I4'!N39,"")</f>
        <v/>
      </c>
      <c r="M183" s="1"/>
      <c r="N183" s="890" t="str">
        <f t="shared" ref="N183:N190" si="212">IF(L183=$AK183,1,"")</f>
        <v/>
      </c>
      <c r="O183" s="894" t="str">
        <f>IF(OR(AND(p_air=TRUE,L183&lt;=$H183,$H183&lt;&gt;"",L183&lt;&gt;""),AND(p_air=TRUE,L183&lt;$H183,$H183&lt;&gt;"",L183&lt;&gt;"")),1,"")</f>
        <v/>
      </c>
      <c r="P183" s="891" t="str">
        <f>IF(AND(N183&lt;&gt;"",N183&gt;standard_pm10),1,"")</f>
        <v/>
      </c>
      <c r="Q183" s="587" t="str">
        <f>IF(AND(code0&lt;&gt;"",'I4'!P39&lt;&gt;""),'I4'!P39,"")</f>
        <v/>
      </c>
      <c r="R183" s="1"/>
      <c r="S183" s="890" t="str">
        <f t="shared" ref="S183:S190" si="213">IF(Q183=$AK183,1,"")</f>
        <v/>
      </c>
      <c r="T183" s="894" t="str">
        <f>IF(OR(AND(p_air=TRUE,Q183&lt;=$H183,$H183&lt;&gt;"",Q183&lt;&gt;""),AND(p_air=TRUE,Q183&lt;$H183,$H183&lt;&gt;"",Q183&lt;&gt;"")),1,"")</f>
        <v/>
      </c>
      <c r="U183" s="891" t="str">
        <f>IF(AND(S183&lt;&gt;"",S183&gt;standard_pm10),1,"")</f>
        <v/>
      </c>
      <c r="V183" s="587" t="str">
        <f>IF(AND(code0&lt;&gt;"",'I4'!R39&lt;&gt;""),'I4'!R39,"")</f>
        <v/>
      </c>
      <c r="W183" s="1"/>
      <c r="X183" s="890" t="str">
        <f t="shared" ref="X183:X190" si="214">IF(V183=$AK183,1,"")</f>
        <v/>
      </c>
      <c r="Y183" s="894" t="str">
        <f>IF(OR(AND(p_air=TRUE,V183&lt;=$H183,$H183&lt;&gt;"",V183&lt;&gt;""),AND(p_air=TRUE,V183&lt;$H183,$H183&lt;&gt;"",V183&lt;&gt;"")),1,"")</f>
        <v/>
      </c>
      <c r="Z183" s="891" t="str">
        <f>IF(AND(X183&lt;&gt;"",X183&gt;standard_pm10),1,"")</f>
        <v/>
      </c>
      <c r="AA183" s="587" t="str">
        <f>IF(AND(code0&lt;&gt;"",'I4'!T39&lt;&gt;""),'I4'!T39,"")</f>
        <v/>
      </c>
      <c r="AB183" s="1"/>
      <c r="AC183" s="890" t="str">
        <f t="shared" ref="AC183:AC190" si="215">IF(AA183=$AK183,1,"")</f>
        <v/>
      </c>
      <c r="AD183" s="894" t="str">
        <f>IF(OR(AND(p_air=TRUE,AA183&lt;=$H183,$H183&lt;&gt;"",AA183&lt;&gt;""),AND(p_air=TRUE,AA183&lt;$H183,$H183&lt;&gt;"",AA183&lt;&gt;"")),1,"")</f>
        <v/>
      </c>
      <c r="AE183" s="891" t="str">
        <f>IF(AND(AC183&lt;&gt;"",AC183&gt;standard_pm10),1,"")</f>
        <v/>
      </c>
      <c r="AF183" s="587" t="str">
        <f>IF(AND(code0&lt;&gt;"",'I4'!V39&lt;&gt;""),'I4'!V39,"")</f>
        <v/>
      </c>
      <c r="AG183" s="1"/>
      <c r="AH183" s="890" t="str">
        <f t="shared" ref="AH183:AH190" si="216">IF(AF183=$AK183,1,"")</f>
        <v/>
      </c>
      <c r="AI183" s="894" t="str">
        <f>IF(OR(AND(p_air=TRUE,AF183&lt;=$H183,$H183&lt;&gt;"",AF183&lt;&gt;""),AND(p_air=TRUE,AF183&lt;$H183,$H183&lt;&gt;"",AF183&lt;&gt;"")),1,"")</f>
        <v/>
      </c>
      <c r="AJ183" s="891" t="str">
        <f>IF(AND(AH183&lt;&gt;"",AH183&gt;standard_pm10),1,"")</f>
        <v/>
      </c>
      <c r="AK183" s="900">
        <f t="shared" ref="AK183:AK190" si="217">MIN($H183,$L183,$Q183,$V183,$AA183,$AF183)</f>
        <v>0</v>
      </c>
      <c r="AL183" s="31"/>
      <c r="AM183" s="29"/>
      <c r="AN183" s="29"/>
      <c r="AO183" s="29"/>
      <c r="AP183" s="29"/>
    </row>
    <row r="184" spans="2:42" ht="15" customHeight="1">
      <c r="B184" s="30"/>
      <c r="C184" s="209"/>
      <c r="D184" s="47" t="s">
        <v>390</v>
      </c>
      <c r="E184" s="45"/>
      <c r="F184" s="190" t="str">
        <f>IF('I4'!G40="","",'I4'!G40)</f>
        <v/>
      </c>
      <c r="G184" s="190"/>
      <c r="H184" s="587" t="str">
        <f>IF(AND(code0&lt;&gt;"",'I4'!L40&lt;&gt;""),'I4'!L40,"")</f>
        <v/>
      </c>
      <c r="I184" s="1"/>
      <c r="J184" s="890" t="str">
        <f t="shared" si="211"/>
        <v/>
      </c>
      <c r="K184" s="891" t="str">
        <f>IF(AND(H184&lt;&gt;"",H184&gt;standard_pm2),1,"")</f>
        <v/>
      </c>
      <c r="L184" s="587" t="str">
        <f>IF(AND(code0&lt;&gt;"",'I4'!N40&lt;&gt;""),'I4'!N40,"")</f>
        <v/>
      </c>
      <c r="M184" s="1"/>
      <c r="N184" s="890" t="str">
        <f t="shared" si="212"/>
        <v/>
      </c>
      <c r="O184" s="894" t="str">
        <f>IF(OR(AND(p_air=TRUE,L184&lt;=$H184,$H184&lt;&gt;"",L184&lt;&gt;""),AND(p_air=TRUE,L184&lt;$H184,$H184&lt;&gt;"",L184&lt;&gt;"")),1,"")</f>
        <v/>
      </c>
      <c r="P184" s="891" t="str">
        <f>IF(AND(N184&lt;&gt;"",N184&gt;standard_pm2),1,"")</f>
        <v/>
      </c>
      <c r="Q184" s="587" t="str">
        <f>IF(AND(code0&lt;&gt;"",'I4'!P40&lt;&gt;""),'I4'!P40,"")</f>
        <v/>
      </c>
      <c r="R184" s="1"/>
      <c r="S184" s="890" t="str">
        <f t="shared" si="213"/>
        <v/>
      </c>
      <c r="T184" s="894" t="str">
        <f>IF(OR(AND(p_air=TRUE,Q184&lt;=$H184,$H184&lt;&gt;"",Q184&lt;&gt;""),AND(p_air=TRUE,Q184&lt;$H184,$H184&lt;&gt;"",Q184&lt;&gt;"")),1,"")</f>
        <v/>
      </c>
      <c r="U184" s="891" t="str">
        <f>IF(AND(S184&lt;&gt;"",S184&gt;standard_pm2),1,"")</f>
        <v/>
      </c>
      <c r="V184" s="587" t="str">
        <f>IF(AND(code0&lt;&gt;"",'I4'!R40&lt;&gt;""),'I4'!R40,"")</f>
        <v/>
      </c>
      <c r="W184" s="1"/>
      <c r="X184" s="890" t="str">
        <f t="shared" si="214"/>
        <v/>
      </c>
      <c r="Y184" s="894" t="str">
        <f>IF(OR(AND(p_air=TRUE,V184&lt;=$H184,$H184&lt;&gt;"",V184&lt;&gt;""),AND(p_air=TRUE,V184&lt;$H184,$H184&lt;&gt;"",V184&lt;&gt;"")),1,"")</f>
        <v/>
      </c>
      <c r="Z184" s="891" t="str">
        <f>IF(AND(X184&lt;&gt;"",X184&gt;standard_pm2),1,"")</f>
        <v/>
      </c>
      <c r="AA184" s="587" t="str">
        <f>IF(AND(code0&lt;&gt;"",'I4'!T40&lt;&gt;""),'I4'!T40,"")</f>
        <v/>
      </c>
      <c r="AB184" s="1"/>
      <c r="AC184" s="890" t="str">
        <f t="shared" si="215"/>
        <v/>
      </c>
      <c r="AD184" s="894" t="str">
        <f>IF(OR(AND(p_air=TRUE,AA184&lt;=$H184,$H184&lt;&gt;"",AA184&lt;&gt;""),AND(p_air=TRUE,AA184&lt;$H184,$H184&lt;&gt;"",AA184&lt;&gt;"")),1,"")</f>
        <v/>
      </c>
      <c r="AE184" s="891" t="str">
        <f>IF(AND(AC184&lt;&gt;"",AC184&gt;standard_pm2),1,"")</f>
        <v/>
      </c>
      <c r="AF184" s="587" t="str">
        <f>IF(AND(code0&lt;&gt;"",'I4'!V40&lt;&gt;""),'I4'!V40,"")</f>
        <v/>
      </c>
      <c r="AG184" s="1"/>
      <c r="AH184" s="890" t="str">
        <f t="shared" si="216"/>
        <v/>
      </c>
      <c r="AI184" s="894" t="str">
        <f>IF(OR(AND(p_air=TRUE,AF184&lt;=$H184,$H184&lt;&gt;"",AF184&lt;&gt;""),AND(p_air=TRUE,AF184&lt;$H184,$H184&lt;&gt;"",AF184&lt;&gt;"")),1,"")</f>
        <v/>
      </c>
      <c r="AJ184" s="891" t="str">
        <f>IF(AND(AH184&lt;&gt;"",AH184&gt;standard_pm2),1,"")</f>
        <v/>
      </c>
      <c r="AK184" s="900">
        <f t="shared" si="217"/>
        <v>0</v>
      </c>
      <c r="AL184" s="31"/>
      <c r="AM184" s="29"/>
      <c r="AN184" s="29"/>
      <c r="AO184" s="29"/>
      <c r="AP184" s="29"/>
    </row>
    <row r="185" spans="2:42" ht="15" customHeight="1">
      <c r="B185" s="30"/>
      <c r="C185" s="209"/>
      <c r="D185" s="47" t="s">
        <v>418</v>
      </c>
      <c r="E185" s="45"/>
      <c r="F185" s="190" t="str">
        <f>IF('I4'!G41="","",'I4'!G41)</f>
        <v/>
      </c>
      <c r="G185" s="190"/>
      <c r="H185" s="587" t="str">
        <f>IF(AND(code0&lt;&gt;"",'I4'!L41&lt;&gt;""),'I4'!L41,"")</f>
        <v/>
      </c>
      <c r="I185" s="1"/>
      <c r="J185" s="890" t="str">
        <f t="shared" si="211"/>
        <v/>
      </c>
      <c r="K185" s="891" t="str">
        <f>IF(AND(H185&lt;&gt;"",H185&gt;standard_no2),1,"")</f>
        <v/>
      </c>
      <c r="L185" s="587" t="str">
        <f>IF(AND(code0&lt;&gt;"",'I4'!N41&lt;&gt;""),'I4'!N41,"")</f>
        <v/>
      </c>
      <c r="M185" s="1"/>
      <c r="N185" s="890" t="str">
        <f t="shared" si="212"/>
        <v/>
      </c>
      <c r="O185" s="894" t="str">
        <f>IF(OR(AND(p_air=TRUE,L185&lt;=$H185,$H185&lt;&gt;"",L185&lt;&gt;""),AND(p_air=TRUE,L185&lt;$H185,$H185&lt;&gt;"",L185&lt;&gt;"")),1,"")</f>
        <v/>
      </c>
      <c r="P185" s="891" t="str">
        <f>IF(AND(N185&lt;&gt;"",N185&gt;standard_no2),1,"")</f>
        <v/>
      </c>
      <c r="Q185" s="587" t="str">
        <f>IF(AND(code0&lt;&gt;"",'I4'!P41&lt;&gt;""),'I4'!P41,"")</f>
        <v/>
      </c>
      <c r="R185" s="1"/>
      <c r="S185" s="890" t="str">
        <f t="shared" si="213"/>
        <v/>
      </c>
      <c r="T185" s="894" t="str">
        <f>IF(OR(AND(p_air=TRUE,Q185&lt;=$H185,$H185&lt;&gt;"",Q185&lt;&gt;""),AND(p_air=TRUE,Q185&lt;$H185,$H185&lt;&gt;"",Q185&lt;&gt;"")),1,"")</f>
        <v/>
      </c>
      <c r="U185" s="891" t="str">
        <f>IF(AND(S185&lt;&gt;"",S185&gt;standard_no2),1,"")</f>
        <v/>
      </c>
      <c r="V185" s="587" t="str">
        <f>IF(AND(code0&lt;&gt;"",'I4'!R41&lt;&gt;""),'I4'!R41,"")</f>
        <v/>
      </c>
      <c r="W185" s="1"/>
      <c r="X185" s="890" t="str">
        <f t="shared" si="214"/>
        <v/>
      </c>
      <c r="Y185" s="894" t="str">
        <f>IF(OR(AND(p_air=TRUE,V185&lt;=$H185,$H185&lt;&gt;"",V185&lt;&gt;""),AND(p_air=TRUE,V185&lt;$H185,$H185&lt;&gt;"",V185&lt;&gt;"")),1,"")</f>
        <v/>
      </c>
      <c r="Z185" s="891" t="str">
        <f>IF(AND(X185&lt;&gt;"",X185&gt;standard_no2),1,"")</f>
        <v/>
      </c>
      <c r="AA185" s="587" t="str">
        <f>IF(AND(code0&lt;&gt;"",'I4'!T41&lt;&gt;""),'I4'!T41,"")</f>
        <v/>
      </c>
      <c r="AB185" s="1"/>
      <c r="AC185" s="890" t="str">
        <f t="shared" si="215"/>
        <v/>
      </c>
      <c r="AD185" s="894" t="str">
        <f>IF(OR(AND(p_air=TRUE,AA185&lt;=$H185,$H185&lt;&gt;"",AA185&lt;&gt;""),AND(p_air=TRUE,AA185&lt;$H185,$H185&lt;&gt;"",AA185&lt;&gt;"")),1,"")</f>
        <v/>
      </c>
      <c r="AE185" s="891" t="str">
        <f>IF(AND(AC185&lt;&gt;"",AC185&gt;standard_no2),1,"")</f>
        <v/>
      </c>
      <c r="AF185" s="587" t="str">
        <f>IF(AND(code0&lt;&gt;"",'I4'!V41&lt;&gt;""),'I4'!V41,"")</f>
        <v/>
      </c>
      <c r="AG185" s="1"/>
      <c r="AH185" s="890" t="str">
        <f t="shared" si="216"/>
        <v/>
      </c>
      <c r="AI185" s="894" t="str">
        <f>IF(OR(AND(p_air=TRUE,AF185&lt;=$H185,$H185&lt;&gt;"",AF185&lt;&gt;""),AND(p_air=TRUE,AF185&lt;$H185,$H185&lt;&gt;"",AF185&lt;&gt;"")),1,"")</f>
        <v/>
      </c>
      <c r="AJ185" s="891" t="str">
        <f>IF(AND(AH185&lt;&gt;"",AH185&gt;standard_no2),1,"")</f>
        <v/>
      </c>
      <c r="AK185" s="900">
        <f t="shared" si="217"/>
        <v>0</v>
      </c>
      <c r="AL185" s="31"/>
      <c r="AM185" s="29"/>
      <c r="AN185" s="29"/>
      <c r="AO185" s="29"/>
      <c r="AP185" s="29"/>
    </row>
    <row r="186" spans="2:42" ht="15" customHeight="1">
      <c r="B186" s="30"/>
      <c r="C186" s="209"/>
      <c r="D186" s="47" t="s">
        <v>30</v>
      </c>
      <c r="F186" s="190" t="str">
        <f>IF('I4'!G42="","",'I4'!G42)</f>
        <v/>
      </c>
      <c r="G186" s="190"/>
      <c r="H186" s="588" t="str">
        <f>IF(AND(code0&lt;&gt;"",'I4'!L42&lt;&gt;""),'I4'!L42,"")</f>
        <v/>
      </c>
      <c r="I186" s="1"/>
      <c r="J186" s="890" t="str">
        <f t="shared" si="211"/>
        <v/>
      </c>
      <c r="K186" s="891" t="str">
        <f>IF(AND(H186&lt;&gt;"",H186&gt;standard_noise),1,"")</f>
        <v/>
      </c>
      <c r="L186" s="588" t="str">
        <f>IF(AND(code0&lt;&gt;"",'I4'!N42&lt;&gt;""),'I4'!N42,"")</f>
        <v/>
      </c>
      <c r="M186" s="1"/>
      <c r="N186" s="890" t="str">
        <f t="shared" si="212"/>
        <v/>
      </c>
      <c r="O186" s="894" t="str">
        <f>IF(OR(AND(p_noise=TRUE,L186&lt;=$H186,$H186&lt;&gt;"",L186&lt;&gt;""),AND(p_noise=TRUE,L186&lt;$H186,$H186&lt;&gt;"",L186&lt;&gt;"")),1,"")</f>
        <v/>
      </c>
      <c r="P186" s="891" t="str">
        <f>IF(AND(L186&lt;&gt;"",L186&gt;standard_noise),1,"")</f>
        <v/>
      </c>
      <c r="Q186" s="588" t="str">
        <f>IF(AND(code0&lt;&gt;"",'I4'!P42&lt;&gt;""),'I4'!P42,"")</f>
        <v/>
      </c>
      <c r="R186" s="1"/>
      <c r="S186" s="890" t="str">
        <f t="shared" si="213"/>
        <v/>
      </c>
      <c r="T186" s="898" t="str">
        <f>IF(OR(AND(p_noise=TRUE,Q186&lt;=$H186,$H186&lt;&gt;"",Q186&lt;&gt;""),AND(p_noise=TRUE,Q186&lt;$H186,$H186&lt;&gt;"",Q186&lt;&gt;"")),1,"")</f>
        <v/>
      </c>
      <c r="U186" s="891" t="str">
        <f>IF(AND(Q186&lt;&gt;"",Q186&gt;standard_noise),1,"")</f>
        <v/>
      </c>
      <c r="V186" s="588" t="str">
        <f>IF(AND(code0&lt;&gt;"",'I4'!R42&lt;&gt;""),'I4'!R42,"")</f>
        <v/>
      </c>
      <c r="W186" s="1"/>
      <c r="X186" s="890" t="str">
        <f t="shared" si="214"/>
        <v/>
      </c>
      <c r="Y186" s="898" t="str">
        <f>IF(OR(AND(p_noise=TRUE,V186&lt;=$H186,$H186&lt;&gt;"",V186&lt;&gt;""),AND(p_noise=TRUE,V186&lt;$H186,$H186&lt;&gt;"",V186&lt;&gt;"")),1,"")</f>
        <v/>
      </c>
      <c r="Z186" s="891" t="str">
        <f>IF(AND(V186&lt;&gt;"",V186&gt;standard_noise),1,"")</f>
        <v/>
      </c>
      <c r="AA186" s="588" t="str">
        <f>IF(AND(code0&lt;&gt;"",'I4'!T42&lt;&gt;""),'I4'!T42,"")</f>
        <v/>
      </c>
      <c r="AB186" s="1"/>
      <c r="AC186" s="890" t="str">
        <f t="shared" si="215"/>
        <v/>
      </c>
      <c r="AD186" s="898" t="str">
        <f>IF(OR(AND(p_noise=TRUE,AA186&lt;=$H186,$H186&lt;&gt;"",AA186&lt;&gt;""),AND(p_noise=TRUE,AA186&lt;$H186,$H186&lt;&gt;"",AA186&lt;&gt;"")),1,"")</f>
        <v/>
      </c>
      <c r="AE186" s="891" t="str">
        <f>IF(AND(AA186&lt;&gt;"",AA186&gt;standard_noise),1,"")</f>
        <v/>
      </c>
      <c r="AF186" s="588" t="str">
        <f>IF(AND(code0&lt;&gt;"",'I4'!V42&lt;&gt;""),'I4'!V42,"")</f>
        <v/>
      </c>
      <c r="AG186" s="1"/>
      <c r="AH186" s="890" t="str">
        <f t="shared" si="216"/>
        <v/>
      </c>
      <c r="AI186" s="898" t="str">
        <f>IF(OR(AND(p_noise=TRUE,AF186&lt;=$H186,$H186&lt;&gt;"",AF186&lt;&gt;""),AND(p_noise=TRUE,AF186&lt;$H186,$H186&lt;&gt;"",AF186&lt;&gt;"")),1,"")</f>
        <v/>
      </c>
      <c r="AJ186" s="891" t="str">
        <f>IF(AND(AF186&lt;&gt;"",AF186&gt;standard_noise),1,"")</f>
        <v/>
      </c>
      <c r="AK186" s="900">
        <f t="shared" si="217"/>
        <v>0</v>
      </c>
      <c r="AL186" s="31"/>
      <c r="AM186" s="29"/>
      <c r="AN186" s="29"/>
      <c r="AO186" s="29"/>
      <c r="AP186" s="29"/>
    </row>
    <row r="187" spans="2:42" ht="15" customHeight="1">
      <c r="B187" s="30"/>
      <c r="C187" s="209"/>
      <c r="D187" s="47" t="s">
        <v>274</v>
      </c>
      <c r="F187" s="190" t="str">
        <f>IF('I4'!G43="","",'I4'!G43)</f>
        <v/>
      </c>
      <c r="G187" s="190"/>
      <c r="H187" s="588" t="str">
        <f>IF(AND(code0&lt;&gt;"",'I4'!L43&lt;&gt;""),'I4'!L43,"")</f>
        <v/>
      </c>
      <c r="I187" s="1"/>
      <c r="J187" s="890" t="str">
        <f t="shared" si="211"/>
        <v/>
      </c>
      <c r="K187" s="702"/>
      <c r="L187" s="587" t="str">
        <f>IF(AND(code0&lt;&gt;"",'I4'!N43&lt;&gt;""),'I4'!N43,"")</f>
        <v/>
      </c>
      <c r="M187" s="1"/>
      <c r="N187" s="890" t="str">
        <f t="shared" si="212"/>
        <v/>
      </c>
      <c r="O187" s="894" t="str">
        <f>IF(OR(AND(p_soilwater=TRUE,L187&lt;=$H187,$H187&lt;&gt;"",L187&lt;&gt;""),AND(p_soilwater=TRUE,L187&lt;$H187,$H187&lt;&gt;"",L187&lt;&gt;"")),1,"")</f>
        <v/>
      </c>
      <c r="P187" s="702"/>
      <c r="Q187" s="587" t="str">
        <f>IF(AND(code0&lt;&gt;"",'I4'!P43&lt;&gt;""),'I4'!P43,"")</f>
        <v/>
      </c>
      <c r="R187" s="1"/>
      <c r="S187" s="890" t="str">
        <f t="shared" si="213"/>
        <v/>
      </c>
      <c r="T187" s="894" t="str">
        <f>IF(OR(AND(p_soilwater=TRUE,Q187&lt;=$H187,$H187&lt;&gt;"",Q187&lt;&gt;""),AND(p_soilwater=TRUE,Q187&lt;$H187,$H187&lt;&gt;"",Q187&lt;&gt;"")),1,"")</f>
        <v/>
      </c>
      <c r="U187" s="702"/>
      <c r="V187" s="587" t="str">
        <f>IF(AND(code0&lt;&gt;"",'I4'!R43&lt;&gt;""),'I4'!R43,"")</f>
        <v/>
      </c>
      <c r="W187" s="1"/>
      <c r="X187" s="890" t="str">
        <f t="shared" si="214"/>
        <v/>
      </c>
      <c r="Y187" s="894" t="str">
        <f>IF(OR(AND(p_soilwater=TRUE,V187&lt;=$H187,$H187&lt;&gt;"",V187&lt;&gt;""),AND(p_soilwater=TRUE,V187&lt;$H187,$H187&lt;&gt;"",V187&lt;&gt;"")),1,"")</f>
        <v/>
      </c>
      <c r="Z187" s="702"/>
      <c r="AA187" s="587" t="str">
        <f>IF(AND(code0&lt;&gt;"",'I4'!T43&lt;&gt;""),'I4'!T43,"")</f>
        <v/>
      </c>
      <c r="AB187" s="1"/>
      <c r="AC187" s="890" t="str">
        <f t="shared" si="215"/>
        <v/>
      </c>
      <c r="AD187" s="894" t="str">
        <f>IF(OR(AND(p_soilwater=TRUE,AA187&lt;=$H187,$H187&lt;&gt;"",AA187&lt;&gt;""),AND(p_soilwater=TRUE,AA187&lt;$H187,$H187&lt;&gt;"",AA187&lt;&gt;"")),1,"")</f>
        <v/>
      </c>
      <c r="AE187" s="702"/>
      <c r="AF187" s="587" t="str">
        <f>IF(AND(code0&lt;&gt;"",'I4'!V43&lt;&gt;""),'I4'!V43,"")</f>
        <v/>
      </c>
      <c r="AG187" s="1"/>
      <c r="AH187" s="890" t="str">
        <f t="shared" si="216"/>
        <v/>
      </c>
      <c r="AI187" s="894" t="str">
        <f>IF(OR(AND(p_soilwater=TRUE,AF187&lt;=$H187,$H187&lt;&gt;"",AF187&lt;&gt;""),AND(p_soilwater=TRUE,AF187&lt;$H187,$H187&lt;&gt;"",AF187&lt;&gt;"")),1,"")</f>
        <v/>
      </c>
      <c r="AJ187" s="702"/>
      <c r="AK187" s="900">
        <f t="shared" si="217"/>
        <v>0</v>
      </c>
      <c r="AL187" s="31"/>
      <c r="AM187" s="29"/>
      <c r="AN187" s="29"/>
      <c r="AO187" s="29"/>
      <c r="AP187" s="29"/>
    </row>
    <row r="188" spans="2:42" ht="15" customHeight="1">
      <c r="B188" s="30"/>
      <c r="C188" s="209"/>
      <c r="D188" s="47" t="s">
        <v>31</v>
      </c>
      <c r="F188" s="190" t="str">
        <f>IF('I4'!G44="","",'I4'!G44)</f>
        <v/>
      </c>
      <c r="G188" s="190"/>
      <c r="H188" s="588" t="str">
        <f>IF(AND(code0&lt;&gt;"",'I4'!L44&lt;&gt;""),'I4'!L44,"")</f>
        <v/>
      </c>
      <c r="I188" s="1"/>
      <c r="J188" s="890" t="str">
        <f t="shared" si="211"/>
        <v/>
      </c>
      <c r="K188" s="702"/>
      <c r="L188" s="587" t="str">
        <f>IF(AND(code0&lt;&gt;"",'I4'!N44&lt;&gt;""),'I4'!N44,"")</f>
        <v/>
      </c>
      <c r="M188" s="1"/>
      <c r="N188" s="890" t="str">
        <f t="shared" si="212"/>
        <v/>
      </c>
      <c r="O188" s="894" t="str">
        <f>IF(OR(AND(p_climate=TRUE,L188&lt;=$H188,$H188&lt;&gt;"",L188&lt;&gt;""),AND(p_climate=TRUE,L188&lt;$H188,$H188&lt;&gt;"",L188&lt;&gt;"")),1,"")</f>
        <v/>
      </c>
      <c r="P188" s="702"/>
      <c r="Q188" s="587" t="str">
        <f>IF(AND(code0&lt;&gt;"",'I4'!P44&lt;&gt;""),'I4'!P44,"")</f>
        <v/>
      </c>
      <c r="R188" s="1"/>
      <c r="S188" s="890" t="str">
        <f t="shared" si="213"/>
        <v/>
      </c>
      <c r="T188" s="894" t="str">
        <f>IF(OR(AND(p_climate=TRUE,Q188&lt;=$H188,$H188&lt;&gt;"",Q188&lt;&gt;""),AND(p_climate=TRUE,Q188&lt;$H188,$H188&lt;&gt;"",Q188&lt;&gt;"")),1,"")</f>
        <v/>
      </c>
      <c r="U188" s="702"/>
      <c r="V188" s="587" t="str">
        <f>IF(AND(code0&lt;&gt;"",'I4'!R44&lt;&gt;""),'I4'!R44,"")</f>
        <v/>
      </c>
      <c r="W188" s="1"/>
      <c r="X188" s="890" t="str">
        <f t="shared" si="214"/>
        <v/>
      </c>
      <c r="Y188" s="894" t="str">
        <f>IF(OR(AND(p_climate=TRUE,V188&lt;=$H188,$H188&lt;&gt;"",V188&lt;&gt;""),AND(p_climate=TRUE,V188&lt;$H188,$H188&lt;&gt;"",V188&lt;&gt;"")),1,"")</f>
        <v/>
      </c>
      <c r="Z188" s="702"/>
      <c r="AA188" s="587" t="str">
        <f>IF(AND(code0&lt;&gt;"",'I4'!T44&lt;&gt;""),'I4'!T44,"")</f>
        <v/>
      </c>
      <c r="AB188" s="1"/>
      <c r="AC188" s="890" t="str">
        <f t="shared" si="215"/>
        <v/>
      </c>
      <c r="AD188" s="894" t="str">
        <f>IF(OR(AND(p_climate=TRUE,AA188&lt;=$H188,$H188&lt;&gt;"",AA188&lt;&gt;""),AND(p_climate=TRUE,AA188&lt;$H188,$H188&lt;&gt;"",AA188&lt;&gt;"")),1,"")</f>
        <v/>
      </c>
      <c r="AE188" s="702"/>
      <c r="AF188" s="587" t="str">
        <f>IF(AND(code0&lt;&gt;"",'I4'!V44&lt;&gt;""),'I4'!V44,"")</f>
        <v/>
      </c>
      <c r="AG188" s="1"/>
      <c r="AH188" s="890" t="str">
        <f t="shared" si="216"/>
        <v/>
      </c>
      <c r="AI188" s="894" t="str">
        <f>IF(OR(AND(p_climate=TRUE,AF188&lt;=$H188,$H188&lt;&gt;"",AF188&lt;&gt;""),AND(p_climate=TRUE,AF188&lt;$H188,$H188&lt;&gt;"",AF188&lt;&gt;"")),1,"")</f>
        <v/>
      </c>
      <c r="AJ188" s="702"/>
      <c r="AK188" s="900">
        <f t="shared" si="217"/>
        <v>0</v>
      </c>
      <c r="AL188" s="31"/>
      <c r="AM188" s="29"/>
      <c r="AN188" s="29"/>
      <c r="AO188" s="29"/>
      <c r="AP188" s="29"/>
    </row>
    <row r="189" spans="2:42" ht="15" customHeight="1">
      <c r="B189" s="30"/>
      <c r="C189" s="209"/>
      <c r="D189" s="47" t="s">
        <v>291</v>
      </c>
      <c r="F189" s="190" t="str">
        <f>IF('I4'!G45="","",'I4'!G45)</f>
        <v/>
      </c>
      <c r="G189" s="190"/>
      <c r="H189" s="588" t="str">
        <f>IF(AND(code0&lt;&gt;"",'I4'!L45&lt;&gt;""),'I4'!L45,"")</f>
        <v/>
      </c>
      <c r="I189" s="1"/>
      <c r="J189" s="890" t="str">
        <f t="shared" si="211"/>
        <v/>
      </c>
      <c r="K189" s="702"/>
      <c r="L189" s="587" t="str">
        <f>IF(AND(code0&lt;&gt;"",'I4'!N45&lt;&gt;""),'I4'!N45,"")</f>
        <v/>
      </c>
      <c r="M189" s="1"/>
      <c r="N189" s="890" t="str">
        <f t="shared" si="212"/>
        <v/>
      </c>
      <c r="O189" s="894" t="str">
        <f>IF(OR(AND(p_energy=TRUE,L189&lt;=$H189,$H189&lt;&gt;"",L189&lt;&gt;""),AND(p_energy=TRUE,L189&lt;$H189,$H189&lt;&gt;"",L189&lt;&gt;"")),1,"")</f>
        <v/>
      </c>
      <c r="P189" s="702"/>
      <c r="Q189" s="587" t="str">
        <f>IF(AND(code0&lt;&gt;"",'I4'!P45&lt;&gt;""),'I4'!P45,"")</f>
        <v/>
      </c>
      <c r="R189" s="1"/>
      <c r="S189" s="890" t="str">
        <f t="shared" si="213"/>
        <v/>
      </c>
      <c r="T189" s="894" t="str">
        <f>IF(OR(AND(p_energy=TRUE,Q189&lt;=$H189,$H189&lt;&gt;"",Q189&lt;&gt;""),AND(p_energy=TRUE,Q189&lt;$H189,$H189&lt;&gt;"",Q189&lt;&gt;"")),1,"")</f>
        <v/>
      </c>
      <c r="U189" s="702"/>
      <c r="V189" s="587" t="str">
        <f>IF(AND(code0&lt;&gt;"",'I4'!R45&lt;&gt;""),'I4'!R45,"")</f>
        <v/>
      </c>
      <c r="W189" s="1"/>
      <c r="X189" s="890" t="str">
        <f t="shared" si="214"/>
        <v/>
      </c>
      <c r="Y189" s="894" t="str">
        <f>IF(OR(AND(p_energy=TRUE,V189&lt;=$H189,$H189&lt;&gt;"",V189&lt;&gt;""),AND(p_energy=TRUE,V189&lt;$H189,$H189&lt;&gt;"",V189&lt;&gt;"")),1,"")</f>
        <v/>
      </c>
      <c r="Z189" s="702"/>
      <c r="AA189" s="587" t="str">
        <f>IF(AND(code0&lt;&gt;"",'I4'!T45&lt;&gt;""),'I4'!T45,"")</f>
        <v/>
      </c>
      <c r="AB189" s="1"/>
      <c r="AC189" s="890" t="str">
        <f t="shared" si="215"/>
        <v/>
      </c>
      <c r="AD189" s="894" t="str">
        <f>IF(OR(AND(p_energy=TRUE,AA189&lt;=$H189,$H189&lt;&gt;"",AA189&lt;&gt;""),AND(p_energy=TRUE,AA189&lt;$H189,$H189&lt;&gt;"",AA189&lt;&gt;"")),1,"")</f>
        <v/>
      </c>
      <c r="AE189" s="702"/>
      <c r="AF189" s="587" t="str">
        <f>IF(AND(code0&lt;&gt;"",'I4'!V45&lt;&gt;""),'I4'!V45,"")</f>
        <v/>
      </c>
      <c r="AG189" s="1"/>
      <c r="AH189" s="890" t="str">
        <f t="shared" si="216"/>
        <v/>
      </c>
      <c r="AI189" s="894" t="str">
        <f>IF(OR(AND(p_energy=TRUE,AF189&lt;=$H189,$H189&lt;&gt;"",AF189&lt;&gt;""),AND(p_energy=TRUE,AF189&lt;$H189,$H189&lt;&gt;"",AF189&lt;&gt;"")),1,"")</f>
        <v/>
      </c>
      <c r="AJ189" s="702"/>
      <c r="AK189" s="900">
        <f t="shared" si="217"/>
        <v>0</v>
      </c>
      <c r="AL189" s="31"/>
      <c r="AM189" s="29"/>
      <c r="AN189" s="29"/>
      <c r="AO189" s="29"/>
      <c r="AP189" s="29"/>
    </row>
    <row r="190" spans="2:42" ht="15" customHeight="1">
      <c r="B190" s="30"/>
      <c r="C190" s="59"/>
      <c r="D190" s="85" t="s">
        <v>29</v>
      </c>
      <c r="E190" s="59"/>
      <c r="F190" s="294" t="str">
        <f>IF('I4'!G46="","",'I4'!G46)</f>
        <v/>
      </c>
      <c r="G190" s="190"/>
      <c r="H190" s="589" t="str">
        <f>IF(AND(code0&lt;&gt;"",'I4'!L46&lt;&gt;""),'I4'!L46,"")</f>
        <v/>
      </c>
      <c r="I190" s="915"/>
      <c r="J190" s="892" t="str">
        <f t="shared" si="211"/>
        <v/>
      </c>
      <c r="K190" s="703"/>
      <c r="L190" s="589" t="str">
        <f>IF(AND(code0&lt;&gt;"",'I4'!N46&lt;&gt;""),'I4'!N46,"")</f>
        <v/>
      </c>
      <c r="M190" s="915"/>
      <c r="N190" s="892" t="str">
        <f t="shared" si="212"/>
        <v/>
      </c>
      <c r="O190" s="895" t="str">
        <f>IF(OR(AND(p_global=TRUE,L190&lt;=$H190,$H190&lt;&gt;"",L190&lt;&gt;""),AND(p_global=TRUE,L190&lt;$H190,$H190&lt;&gt;"",L190&lt;&gt;"")),1,"")</f>
        <v/>
      </c>
      <c r="P190" s="703"/>
      <c r="Q190" s="589" t="str">
        <f>IF(AND(code0&lt;&gt;"",'I4'!P46&lt;&gt;""),'I4'!P46,"")</f>
        <v/>
      </c>
      <c r="R190" s="915"/>
      <c r="S190" s="892" t="str">
        <f t="shared" si="213"/>
        <v/>
      </c>
      <c r="T190" s="895" t="str">
        <f>IF(OR(AND(p_global=TRUE,Q190&lt;=$H190,$H190&lt;&gt;"",Q190&lt;&gt;""),AND(p_global=TRUE,Q190&lt;$H190,$H190&lt;&gt;"",Q190&lt;&gt;"")),1,"")</f>
        <v/>
      </c>
      <c r="U190" s="703"/>
      <c r="V190" s="589" t="str">
        <f>IF(AND(code0&lt;&gt;"",'I4'!R46&lt;&gt;""),'I4'!R46,"")</f>
        <v/>
      </c>
      <c r="W190" s="915"/>
      <c r="X190" s="892" t="str">
        <f t="shared" si="214"/>
        <v/>
      </c>
      <c r="Y190" s="895" t="str">
        <f>IF(OR(AND(p_global=TRUE,V190&lt;=$H190,$H190&lt;&gt;"",V190&lt;&gt;""),AND(p_global=TRUE,V190&lt;$H190,$H190&lt;&gt;"",V190&lt;&gt;"")),1,"")</f>
        <v/>
      </c>
      <c r="Z190" s="703"/>
      <c r="AA190" s="589" t="str">
        <f>IF(AND(code0&lt;&gt;"",'I4'!T46&lt;&gt;""),'I4'!T46,"")</f>
        <v/>
      </c>
      <c r="AB190" s="915"/>
      <c r="AC190" s="892" t="str">
        <f t="shared" si="215"/>
        <v/>
      </c>
      <c r="AD190" s="895" t="str">
        <f>IF(OR(AND(p_global=TRUE,AA190&lt;=$H190,$H190&lt;&gt;"",AA190&lt;&gt;""),AND(p_global=TRUE,AA190&lt;$H190,$H190&lt;&gt;"",AA190&lt;&gt;"")),1,"")</f>
        <v/>
      </c>
      <c r="AE190" s="703"/>
      <c r="AF190" s="589" t="str">
        <f>IF(AND(code0&lt;&gt;"",'I4'!V46&lt;&gt;""),'I4'!V46,"")</f>
        <v/>
      </c>
      <c r="AG190" s="1"/>
      <c r="AH190" s="890" t="str">
        <f t="shared" si="216"/>
        <v/>
      </c>
      <c r="AI190" s="894" t="str">
        <f>IF(OR(AND(p_global=TRUE,AF190&lt;=$H190,$H190&lt;&gt;"",AF190&lt;&gt;""),AND(p_global=TRUE,AF190&lt;$H190,$H190&lt;&gt;"",AF190&lt;&gt;"")),1,"")</f>
        <v/>
      </c>
      <c r="AJ190" s="702"/>
      <c r="AK190" s="900">
        <f t="shared" si="217"/>
        <v>0</v>
      </c>
      <c r="AL190" s="31"/>
      <c r="AM190" s="29"/>
      <c r="AN190" s="29"/>
      <c r="AO190" s="29"/>
      <c r="AP190" s="29"/>
    </row>
    <row r="191" spans="2:42" ht="15" customHeight="1" thickBot="1">
      <c r="B191" s="37"/>
      <c r="C191" s="38"/>
      <c r="D191" s="38"/>
      <c r="E191" s="38"/>
      <c r="F191" s="38"/>
      <c r="G191" s="38"/>
      <c r="H191" s="38"/>
      <c r="I191" s="38"/>
      <c r="J191" s="579"/>
      <c r="K191" s="579"/>
      <c r="L191" s="38"/>
      <c r="M191" s="38"/>
      <c r="N191" s="579"/>
      <c r="O191" s="548"/>
      <c r="P191" s="548"/>
      <c r="Q191" s="38"/>
      <c r="R191" s="38"/>
      <c r="S191" s="579"/>
      <c r="T191" s="548"/>
      <c r="U191" s="548"/>
      <c r="V191" s="38"/>
      <c r="W191" s="38"/>
      <c r="X191" s="579"/>
      <c r="Y191" s="548"/>
      <c r="Z191" s="548"/>
      <c r="AA191" s="38"/>
      <c r="AB191" s="38"/>
      <c r="AC191" s="579"/>
      <c r="AD191" s="548"/>
      <c r="AE191" s="548"/>
      <c r="AF191" s="38"/>
      <c r="AG191" s="38"/>
      <c r="AH191" s="579"/>
      <c r="AI191" s="548"/>
      <c r="AJ191" s="548"/>
      <c r="AK191" s="548"/>
      <c r="AL191" s="39"/>
    </row>
    <row r="192" spans="2:42" ht="15" customHeight="1"/>
    <row r="193" ht="15" hidden="1" customHeight="1"/>
    <row r="194" ht="15" customHeight="1"/>
  </sheetData>
  <mergeCells count="30">
    <mergeCell ref="F24:F25"/>
    <mergeCell ref="L24:P25"/>
    <mergeCell ref="G24:K25"/>
    <mergeCell ref="B2:AL2"/>
    <mergeCell ref="D6:AF6"/>
    <mergeCell ref="D8:F8"/>
    <mergeCell ref="D7:AJ7"/>
    <mergeCell ref="C4:AJ4"/>
    <mergeCell ref="H9:J9"/>
    <mergeCell ref="L9:N9"/>
    <mergeCell ref="Q9:U9"/>
    <mergeCell ref="AA36:AA37"/>
    <mergeCell ref="AF36:AF37"/>
    <mergeCell ref="V36:V37"/>
    <mergeCell ref="C36:E39"/>
    <mergeCell ref="F36:F39"/>
    <mergeCell ref="L36:L37"/>
    <mergeCell ref="Q36:Q37"/>
    <mergeCell ref="L31:P31"/>
    <mergeCell ref="G27:K27"/>
    <mergeCell ref="G28:K28"/>
    <mergeCell ref="G29:K29"/>
    <mergeCell ref="G26:K26"/>
    <mergeCell ref="G30:K30"/>
    <mergeCell ref="G31:K31"/>
    <mergeCell ref="L27:P27"/>
    <mergeCell ref="L28:P28"/>
    <mergeCell ref="L29:P29"/>
    <mergeCell ref="L30:P30"/>
    <mergeCell ref="L26:P26"/>
  </mergeCells>
  <conditionalFormatting sqref="H42">
    <cfRule type="expression" dxfId="2272" priority="3266">
      <formula>J42=1</formula>
    </cfRule>
  </conditionalFormatting>
  <conditionalFormatting sqref="L41">
    <cfRule type="expression" dxfId="2271" priority="3030">
      <formula>O41=1</formula>
    </cfRule>
    <cfRule type="expression" dxfId="2270" priority="3265">
      <formula>N41=1</formula>
    </cfRule>
  </conditionalFormatting>
  <conditionalFormatting sqref="H46">
    <cfRule type="expression" dxfId="2269" priority="3260">
      <formula>K46=1</formula>
    </cfRule>
    <cfRule type="expression" dxfId="2268" priority="3261">
      <formula>J46=1</formula>
    </cfRule>
  </conditionalFormatting>
  <conditionalFormatting sqref="H47">
    <cfRule type="expression" dxfId="2267" priority="3259">
      <formula>J47=1</formula>
    </cfRule>
  </conditionalFormatting>
  <conditionalFormatting sqref="H48">
    <cfRule type="expression" dxfId="2266" priority="3257">
      <formula>J48=1</formula>
    </cfRule>
  </conditionalFormatting>
  <conditionalFormatting sqref="H49">
    <cfRule type="expression" dxfId="2265" priority="3255">
      <formula>J49=1</formula>
    </cfRule>
  </conditionalFormatting>
  <conditionalFormatting sqref="H50">
    <cfRule type="expression" dxfId="2264" priority="3253">
      <formula>J50=1</formula>
    </cfRule>
  </conditionalFormatting>
  <conditionalFormatting sqref="H51">
    <cfRule type="expression" dxfId="2263" priority="3251">
      <formula>J51=1</formula>
    </cfRule>
  </conditionalFormatting>
  <conditionalFormatting sqref="H52">
    <cfRule type="expression" dxfId="2262" priority="3249">
      <formula>J52=1</formula>
    </cfRule>
  </conditionalFormatting>
  <conditionalFormatting sqref="H54">
    <cfRule type="expression" dxfId="2261" priority="3246">
      <formula>K54=1</formula>
    </cfRule>
    <cfRule type="expression" dxfId="2260" priority="3247">
      <formula>J54=1</formula>
    </cfRule>
  </conditionalFormatting>
  <conditionalFormatting sqref="H55">
    <cfRule type="expression" dxfId="2259" priority="3245">
      <formula>J55=1</formula>
    </cfRule>
  </conditionalFormatting>
  <conditionalFormatting sqref="H56">
    <cfRule type="expression" dxfId="2258" priority="3243">
      <formula>J56=1</formula>
    </cfRule>
  </conditionalFormatting>
  <conditionalFormatting sqref="H57">
    <cfRule type="expression" dxfId="2257" priority="3241">
      <formula>J57=1</formula>
    </cfRule>
  </conditionalFormatting>
  <conditionalFormatting sqref="H58">
    <cfRule type="expression" dxfId="2256" priority="3239">
      <formula>J58=1</formula>
    </cfRule>
  </conditionalFormatting>
  <conditionalFormatting sqref="H59">
    <cfRule type="expression" dxfId="2255" priority="3237">
      <formula>J59=1</formula>
    </cfRule>
  </conditionalFormatting>
  <conditionalFormatting sqref="H60">
    <cfRule type="expression" dxfId="2254" priority="3235">
      <formula>J60=1</formula>
    </cfRule>
  </conditionalFormatting>
  <conditionalFormatting sqref="H62">
    <cfRule type="expression" dxfId="2253" priority="3232">
      <formula>K62=1</formula>
    </cfRule>
    <cfRule type="expression" dxfId="2252" priority="3233">
      <formula>J62=1</formula>
    </cfRule>
  </conditionalFormatting>
  <conditionalFormatting sqref="H63">
    <cfRule type="expression" dxfId="2251" priority="3231">
      <formula>J63=1</formula>
    </cfRule>
  </conditionalFormatting>
  <conditionalFormatting sqref="H64">
    <cfRule type="expression" dxfId="2250" priority="3229">
      <formula>J64=1</formula>
    </cfRule>
  </conditionalFormatting>
  <conditionalFormatting sqref="H65">
    <cfRule type="expression" dxfId="2249" priority="3227">
      <formula>J65=1</formula>
    </cfRule>
  </conditionalFormatting>
  <conditionalFormatting sqref="H66">
    <cfRule type="expression" dxfId="2248" priority="3225">
      <formula>J66=1</formula>
    </cfRule>
  </conditionalFormatting>
  <conditionalFormatting sqref="H67">
    <cfRule type="expression" dxfId="2247" priority="3223">
      <formula>J67=1</formula>
    </cfRule>
  </conditionalFormatting>
  <conditionalFormatting sqref="H68">
    <cfRule type="expression" dxfId="2246" priority="3221">
      <formula>J68=1</formula>
    </cfRule>
  </conditionalFormatting>
  <conditionalFormatting sqref="H70">
    <cfRule type="expression" dxfId="2245" priority="3218">
      <formula>K70=1</formula>
    </cfRule>
    <cfRule type="expression" dxfId="2244" priority="3219">
      <formula>J70=1</formula>
    </cfRule>
  </conditionalFormatting>
  <conditionalFormatting sqref="H71">
    <cfRule type="expression" dxfId="2243" priority="3217">
      <formula>J71=1</formula>
    </cfRule>
  </conditionalFormatting>
  <conditionalFormatting sqref="H72">
    <cfRule type="expression" dxfId="2242" priority="3215">
      <formula>J72=1</formula>
    </cfRule>
  </conditionalFormatting>
  <conditionalFormatting sqref="H73">
    <cfRule type="expression" dxfId="2241" priority="3213">
      <formula>J73=1</formula>
    </cfRule>
  </conditionalFormatting>
  <conditionalFormatting sqref="H74">
    <cfRule type="expression" dxfId="2240" priority="3211">
      <formula>J74=1</formula>
    </cfRule>
  </conditionalFormatting>
  <conditionalFormatting sqref="H75">
    <cfRule type="expression" dxfId="2239" priority="3209">
      <formula>J75=1</formula>
    </cfRule>
  </conditionalFormatting>
  <conditionalFormatting sqref="H76">
    <cfRule type="expression" dxfId="2238" priority="3207">
      <formula>J76=1</formula>
    </cfRule>
  </conditionalFormatting>
  <conditionalFormatting sqref="H78">
    <cfRule type="expression" dxfId="2237" priority="3204">
      <formula>K78=1</formula>
    </cfRule>
    <cfRule type="expression" dxfId="2236" priority="3205">
      <formula>J78=1</formula>
    </cfRule>
  </conditionalFormatting>
  <conditionalFormatting sqref="H79">
    <cfRule type="expression" dxfId="2235" priority="3203">
      <formula>J79=1</formula>
    </cfRule>
  </conditionalFormatting>
  <conditionalFormatting sqref="H80">
    <cfRule type="expression" dxfId="2234" priority="3201">
      <formula>J80=1</formula>
    </cfRule>
  </conditionalFormatting>
  <conditionalFormatting sqref="H81">
    <cfRule type="expression" dxfId="2233" priority="3199">
      <formula>J81=1</formula>
    </cfRule>
  </conditionalFormatting>
  <conditionalFormatting sqref="H82">
    <cfRule type="expression" dxfId="2232" priority="3197">
      <formula>J82=1</formula>
    </cfRule>
  </conditionalFormatting>
  <conditionalFormatting sqref="H83">
    <cfRule type="expression" dxfId="2231" priority="3195">
      <formula>J83=1</formula>
    </cfRule>
  </conditionalFormatting>
  <conditionalFormatting sqref="H84">
    <cfRule type="expression" dxfId="2230" priority="3193">
      <formula>J84=1</formula>
    </cfRule>
  </conditionalFormatting>
  <conditionalFormatting sqref="H86">
    <cfRule type="expression" dxfId="2229" priority="3190">
      <formula>K86=1</formula>
    </cfRule>
    <cfRule type="expression" dxfId="2228" priority="3191">
      <formula>J86=1</formula>
    </cfRule>
  </conditionalFormatting>
  <conditionalFormatting sqref="H87">
    <cfRule type="expression" dxfId="2227" priority="3189">
      <formula>J87=1</formula>
    </cfRule>
  </conditionalFormatting>
  <conditionalFormatting sqref="H88">
    <cfRule type="expression" dxfId="2226" priority="3187">
      <formula>J88=1</formula>
    </cfRule>
  </conditionalFormatting>
  <conditionalFormatting sqref="H89">
    <cfRule type="expression" dxfId="2225" priority="3185">
      <formula>J89=1</formula>
    </cfRule>
  </conditionalFormatting>
  <conditionalFormatting sqref="H90">
    <cfRule type="expression" dxfId="2224" priority="3183">
      <formula>J90=1</formula>
    </cfRule>
  </conditionalFormatting>
  <conditionalFormatting sqref="H91">
    <cfRule type="expression" dxfId="2223" priority="3181">
      <formula>J91=1</formula>
    </cfRule>
  </conditionalFormatting>
  <conditionalFormatting sqref="H92">
    <cfRule type="expression" dxfId="2222" priority="3179">
      <formula>J92=1</formula>
    </cfRule>
  </conditionalFormatting>
  <conditionalFormatting sqref="H94">
    <cfRule type="expression" dxfId="2221" priority="3176">
      <formula>K94=1</formula>
    </cfRule>
    <cfRule type="expression" dxfId="2220" priority="3177">
      <formula>J94=1</formula>
    </cfRule>
  </conditionalFormatting>
  <conditionalFormatting sqref="H95">
    <cfRule type="expression" dxfId="2219" priority="3175">
      <formula>J95=1</formula>
    </cfRule>
  </conditionalFormatting>
  <conditionalFormatting sqref="H96">
    <cfRule type="expression" dxfId="2218" priority="3173">
      <formula>J96=1</formula>
    </cfRule>
  </conditionalFormatting>
  <conditionalFormatting sqref="H97">
    <cfRule type="expression" dxfId="2217" priority="3171">
      <formula>J97=1</formula>
    </cfRule>
  </conditionalFormatting>
  <conditionalFormatting sqref="H98">
    <cfRule type="expression" dxfId="2216" priority="3169">
      <formula>J98=1</formula>
    </cfRule>
  </conditionalFormatting>
  <conditionalFormatting sqref="H99">
    <cfRule type="expression" dxfId="2215" priority="3167">
      <formula>J99=1</formula>
    </cfRule>
  </conditionalFormatting>
  <conditionalFormatting sqref="H100">
    <cfRule type="expression" dxfId="2214" priority="3165">
      <formula>J100=1</formula>
    </cfRule>
  </conditionalFormatting>
  <conditionalFormatting sqref="L42">
    <cfRule type="expression" dxfId="2213" priority="3026">
      <formula>O42=1</formula>
    </cfRule>
    <cfRule type="expression" dxfId="2212" priority="3027">
      <formula>N42=1</formula>
    </cfRule>
  </conditionalFormatting>
  <conditionalFormatting sqref="L46">
    <cfRule type="expression" dxfId="2211" priority="3020">
      <formula>AND(O46=1,P46=1)</formula>
    </cfRule>
    <cfRule type="expression" dxfId="2210" priority="3022">
      <formula>O46=1</formula>
    </cfRule>
    <cfRule type="expression" dxfId="2209" priority="3023">
      <formula>N46=1</formula>
    </cfRule>
  </conditionalFormatting>
  <conditionalFormatting sqref="L46">
    <cfRule type="expression" dxfId="2208" priority="3021">
      <formula>P46=1</formula>
    </cfRule>
  </conditionalFormatting>
  <conditionalFormatting sqref="L47">
    <cfRule type="expression" dxfId="2207" priority="3018">
      <formula>O47=1</formula>
    </cfRule>
    <cfRule type="expression" dxfId="2206" priority="3019">
      <formula>N47=1</formula>
    </cfRule>
  </conditionalFormatting>
  <conditionalFormatting sqref="L48">
    <cfRule type="expression" dxfId="2205" priority="3014">
      <formula>O48=1</formula>
    </cfRule>
    <cfRule type="expression" dxfId="2204" priority="3015">
      <formula>N48=1</formula>
    </cfRule>
  </conditionalFormatting>
  <conditionalFormatting sqref="L49">
    <cfRule type="expression" dxfId="2203" priority="3010">
      <formula>O49=1</formula>
    </cfRule>
    <cfRule type="expression" dxfId="2202" priority="3011">
      <formula>N49=1</formula>
    </cfRule>
  </conditionalFormatting>
  <conditionalFormatting sqref="L50">
    <cfRule type="expression" dxfId="2201" priority="3006">
      <formula>O50=1</formula>
    </cfRule>
    <cfRule type="expression" dxfId="2200" priority="3007">
      <formula>N50=1</formula>
    </cfRule>
  </conditionalFormatting>
  <conditionalFormatting sqref="L51">
    <cfRule type="expression" dxfId="2199" priority="3002">
      <formula>O51=1</formula>
    </cfRule>
    <cfRule type="expression" dxfId="2198" priority="3003">
      <formula>N51=1</formula>
    </cfRule>
  </conditionalFormatting>
  <conditionalFormatting sqref="L52">
    <cfRule type="expression" dxfId="2197" priority="2998">
      <formula>O52=1</formula>
    </cfRule>
    <cfRule type="expression" dxfId="2196" priority="2999">
      <formula>N52=1</formula>
    </cfRule>
  </conditionalFormatting>
  <conditionalFormatting sqref="L54">
    <cfRule type="expression" dxfId="2195" priority="2992">
      <formula>AND(O54=1,P54=1)</formula>
    </cfRule>
    <cfRule type="expression" dxfId="2194" priority="2994">
      <formula>O54=1</formula>
    </cfRule>
    <cfRule type="expression" dxfId="2193" priority="2995">
      <formula>N54=1</formula>
    </cfRule>
  </conditionalFormatting>
  <conditionalFormatting sqref="L54">
    <cfRule type="expression" dxfId="2192" priority="2993">
      <formula>P54=1</formula>
    </cfRule>
  </conditionalFormatting>
  <conditionalFormatting sqref="L55">
    <cfRule type="expression" dxfId="2191" priority="2990">
      <formula>O55=1</formula>
    </cfRule>
    <cfRule type="expression" dxfId="2190" priority="2991">
      <formula>N55=1</formula>
    </cfRule>
  </conditionalFormatting>
  <conditionalFormatting sqref="L56">
    <cfRule type="expression" dxfId="2189" priority="2986">
      <formula>O56=1</formula>
    </cfRule>
    <cfRule type="expression" dxfId="2188" priority="2987">
      <formula>N56=1</formula>
    </cfRule>
  </conditionalFormatting>
  <conditionalFormatting sqref="L57">
    <cfRule type="expression" dxfId="2187" priority="2982">
      <formula>O57=1</formula>
    </cfRule>
    <cfRule type="expression" dxfId="2186" priority="2983">
      <formula>N57=1</formula>
    </cfRule>
  </conditionalFormatting>
  <conditionalFormatting sqref="L58">
    <cfRule type="expression" dxfId="2185" priority="2978">
      <formula>O58=1</formula>
    </cfRule>
    <cfRule type="expression" dxfId="2184" priority="2979">
      <formula>N58=1</formula>
    </cfRule>
  </conditionalFormatting>
  <conditionalFormatting sqref="L59">
    <cfRule type="expression" dxfId="2183" priority="2974">
      <formula>O59=1</formula>
    </cfRule>
    <cfRule type="expression" dxfId="2182" priority="2975">
      <formula>N59=1</formula>
    </cfRule>
  </conditionalFormatting>
  <conditionalFormatting sqref="L60">
    <cfRule type="expression" dxfId="2181" priority="2970">
      <formula>O60=1</formula>
    </cfRule>
    <cfRule type="expression" dxfId="2180" priority="2971">
      <formula>N60=1</formula>
    </cfRule>
  </conditionalFormatting>
  <conditionalFormatting sqref="L62">
    <cfRule type="expression" dxfId="2179" priority="2964">
      <formula>AND(O62=1,P62=1)</formula>
    </cfRule>
    <cfRule type="expression" dxfId="2178" priority="2966">
      <formula>O62=1</formula>
    </cfRule>
    <cfRule type="expression" dxfId="2177" priority="2967">
      <formula>N62=1</formula>
    </cfRule>
  </conditionalFormatting>
  <conditionalFormatting sqref="L62">
    <cfRule type="expression" dxfId="2176" priority="2965">
      <formula>P62=1</formula>
    </cfRule>
  </conditionalFormatting>
  <conditionalFormatting sqref="L63">
    <cfRule type="expression" dxfId="2175" priority="2962">
      <formula>O63=1</formula>
    </cfRule>
    <cfRule type="expression" dxfId="2174" priority="2963">
      <formula>N63=1</formula>
    </cfRule>
  </conditionalFormatting>
  <conditionalFormatting sqref="L64">
    <cfRule type="expression" dxfId="2173" priority="2958">
      <formula>O64=1</formula>
    </cfRule>
    <cfRule type="expression" dxfId="2172" priority="2959">
      <formula>N64=1</formula>
    </cfRule>
  </conditionalFormatting>
  <conditionalFormatting sqref="L65">
    <cfRule type="expression" dxfId="2171" priority="2954">
      <formula>O65=1</formula>
    </cfRule>
    <cfRule type="expression" dxfId="2170" priority="2955">
      <formula>N65=1</formula>
    </cfRule>
  </conditionalFormatting>
  <conditionalFormatting sqref="L66">
    <cfRule type="expression" dxfId="2169" priority="2950">
      <formula>O66=1</formula>
    </cfRule>
    <cfRule type="expression" dxfId="2168" priority="2951">
      <formula>N66=1</formula>
    </cfRule>
  </conditionalFormatting>
  <conditionalFormatting sqref="L67">
    <cfRule type="expression" dxfId="2167" priority="2946">
      <formula>O67=1</formula>
    </cfRule>
    <cfRule type="expression" dxfId="2166" priority="2947">
      <formula>N67=1</formula>
    </cfRule>
  </conditionalFormatting>
  <conditionalFormatting sqref="L68">
    <cfRule type="expression" dxfId="2165" priority="2942">
      <formula>O68=1</formula>
    </cfRule>
    <cfRule type="expression" dxfId="2164" priority="2943">
      <formula>N68=1</formula>
    </cfRule>
  </conditionalFormatting>
  <conditionalFormatting sqref="L70">
    <cfRule type="expression" dxfId="2163" priority="2936">
      <formula>AND(O70=1,P70=1)</formula>
    </cfRule>
    <cfRule type="expression" dxfId="2162" priority="2938">
      <formula>O70=1</formula>
    </cfRule>
    <cfRule type="expression" dxfId="2161" priority="2939">
      <formula>N70=1</formula>
    </cfRule>
  </conditionalFormatting>
  <conditionalFormatting sqref="L70">
    <cfRule type="expression" dxfId="2160" priority="2937">
      <formula>P70=1</formula>
    </cfRule>
  </conditionalFormatting>
  <conditionalFormatting sqref="L71">
    <cfRule type="expression" dxfId="2159" priority="2934">
      <formula>O71=1</formula>
    </cfRule>
    <cfRule type="expression" dxfId="2158" priority="2935">
      <formula>N71=1</formula>
    </cfRule>
  </conditionalFormatting>
  <conditionalFormatting sqref="L72">
    <cfRule type="expression" dxfId="2157" priority="2930">
      <formula>O72=1</formula>
    </cfRule>
    <cfRule type="expression" dxfId="2156" priority="2931">
      <formula>N72=1</formula>
    </cfRule>
  </conditionalFormatting>
  <conditionalFormatting sqref="L73">
    <cfRule type="expression" dxfId="2155" priority="2926">
      <formula>O73=1</formula>
    </cfRule>
    <cfRule type="expression" dxfId="2154" priority="2927">
      <formula>N73=1</formula>
    </cfRule>
  </conditionalFormatting>
  <conditionalFormatting sqref="L74">
    <cfRule type="expression" dxfId="2153" priority="2922">
      <formula>O74=1</formula>
    </cfRule>
    <cfRule type="expression" dxfId="2152" priority="2923">
      <formula>N74=1</formula>
    </cfRule>
  </conditionalFormatting>
  <conditionalFormatting sqref="L75">
    <cfRule type="expression" dxfId="2151" priority="2918">
      <formula>O75=1</formula>
    </cfRule>
    <cfRule type="expression" dxfId="2150" priority="2919">
      <formula>N75=1</formula>
    </cfRule>
  </conditionalFormatting>
  <conditionalFormatting sqref="L76">
    <cfRule type="expression" dxfId="2149" priority="2914">
      <formula>O76=1</formula>
    </cfRule>
    <cfRule type="expression" dxfId="2148" priority="2915">
      <formula>N76=1</formula>
    </cfRule>
  </conditionalFormatting>
  <conditionalFormatting sqref="L78">
    <cfRule type="expression" dxfId="2147" priority="2908">
      <formula>AND(O78=1,P78=1)</formula>
    </cfRule>
    <cfRule type="expression" dxfId="2146" priority="2910">
      <formula>O78=1</formula>
    </cfRule>
    <cfRule type="expression" dxfId="2145" priority="2911">
      <formula>N78=1</formula>
    </cfRule>
  </conditionalFormatting>
  <conditionalFormatting sqref="L78">
    <cfRule type="expression" dxfId="2144" priority="2909">
      <formula>P78=1</formula>
    </cfRule>
  </conditionalFormatting>
  <conditionalFormatting sqref="L79">
    <cfRule type="expression" dxfId="2143" priority="2906">
      <formula>O79=1</formula>
    </cfRule>
    <cfRule type="expression" dxfId="2142" priority="2907">
      <formula>N79=1</formula>
    </cfRule>
  </conditionalFormatting>
  <conditionalFormatting sqref="L80">
    <cfRule type="expression" dxfId="2141" priority="2902">
      <formula>O80=1</formula>
    </cfRule>
    <cfRule type="expression" dxfId="2140" priority="2903">
      <formula>N80=1</formula>
    </cfRule>
  </conditionalFormatting>
  <conditionalFormatting sqref="L81">
    <cfRule type="expression" dxfId="2139" priority="2898">
      <formula>O81=1</formula>
    </cfRule>
    <cfRule type="expression" dxfId="2138" priority="2899">
      <formula>N81=1</formula>
    </cfRule>
  </conditionalFormatting>
  <conditionalFormatting sqref="L82">
    <cfRule type="expression" dxfId="2137" priority="2894">
      <formula>O82=1</formula>
    </cfRule>
    <cfRule type="expression" dxfId="2136" priority="2895">
      <formula>N82=1</formula>
    </cfRule>
  </conditionalFormatting>
  <conditionalFormatting sqref="L83">
    <cfRule type="expression" dxfId="2135" priority="2890">
      <formula>O83=1</formula>
    </cfRule>
    <cfRule type="expression" dxfId="2134" priority="2891">
      <formula>N83=1</formula>
    </cfRule>
  </conditionalFormatting>
  <conditionalFormatting sqref="L84">
    <cfRule type="expression" dxfId="2133" priority="2886">
      <formula>O84=1</formula>
    </cfRule>
    <cfRule type="expression" dxfId="2132" priority="2887">
      <formula>N84=1</formula>
    </cfRule>
  </conditionalFormatting>
  <conditionalFormatting sqref="Q41">
    <cfRule type="expression" dxfId="2131" priority="2562">
      <formula>T41=1</formula>
    </cfRule>
    <cfRule type="expression" dxfId="2130" priority="2563">
      <formula>S41=1</formula>
    </cfRule>
  </conditionalFormatting>
  <conditionalFormatting sqref="Q42">
    <cfRule type="expression" dxfId="2129" priority="2558">
      <formula>T42=1</formula>
    </cfRule>
    <cfRule type="expression" dxfId="2128" priority="2559">
      <formula>S42=1</formula>
    </cfRule>
  </conditionalFormatting>
  <conditionalFormatting sqref="V41">
    <cfRule type="expression" dxfId="2127" priority="2554">
      <formula>Y41=1</formula>
    </cfRule>
    <cfRule type="expression" dxfId="2126" priority="2555">
      <formula>X41=1</formula>
    </cfRule>
  </conditionalFormatting>
  <conditionalFormatting sqref="V42">
    <cfRule type="expression" dxfId="2125" priority="2550">
      <formula>Y42=1</formula>
    </cfRule>
    <cfRule type="expression" dxfId="2124" priority="2551">
      <formula>X42=1</formula>
    </cfRule>
  </conditionalFormatting>
  <conditionalFormatting sqref="AA41">
    <cfRule type="expression" dxfId="2123" priority="2546">
      <formula>AD41=1</formula>
    </cfRule>
    <cfRule type="expression" dxfId="2122" priority="2547">
      <formula>AC41=1</formula>
    </cfRule>
  </conditionalFormatting>
  <conditionalFormatting sqref="AA42">
    <cfRule type="expression" dxfId="2121" priority="2542">
      <formula>AD42=1</formula>
    </cfRule>
    <cfRule type="expression" dxfId="2120" priority="2543">
      <formula>AC42=1</formula>
    </cfRule>
  </conditionalFormatting>
  <conditionalFormatting sqref="AF41">
    <cfRule type="expression" dxfId="2119" priority="2538">
      <formula>AI41=1</formula>
    </cfRule>
    <cfRule type="expression" dxfId="2118" priority="2539">
      <formula>AH41=1</formula>
    </cfRule>
  </conditionalFormatting>
  <conditionalFormatting sqref="AF42">
    <cfRule type="expression" dxfId="2117" priority="2534">
      <formula>AI42=1</formula>
    </cfRule>
  </conditionalFormatting>
  <conditionalFormatting sqref="Q46">
    <cfRule type="expression" dxfId="2116" priority="2528">
      <formula>AND(T46=1,U46=1)</formula>
    </cfRule>
    <cfRule type="expression" dxfId="2115" priority="2530">
      <formula>T46=1</formula>
    </cfRule>
    <cfRule type="expression" dxfId="2114" priority="2531">
      <formula>S46=1</formula>
    </cfRule>
  </conditionalFormatting>
  <conditionalFormatting sqref="Q46">
    <cfRule type="expression" dxfId="2113" priority="2529">
      <formula>U46=1</formula>
    </cfRule>
  </conditionalFormatting>
  <conditionalFormatting sqref="Q47">
    <cfRule type="expression" dxfId="2112" priority="2526">
      <formula>T47=1</formula>
    </cfRule>
    <cfRule type="expression" dxfId="2111" priority="2527">
      <formula>S47=1</formula>
    </cfRule>
  </conditionalFormatting>
  <conditionalFormatting sqref="Q48">
    <cfRule type="expression" dxfId="2110" priority="2522">
      <formula>T48=1</formula>
    </cfRule>
    <cfRule type="expression" dxfId="2109" priority="2523">
      <formula>S48=1</formula>
    </cfRule>
  </conditionalFormatting>
  <conditionalFormatting sqref="Q49">
    <cfRule type="expression" dxfId="2108" priority="2518">
      <formula>T49=1</formula>
    </cfRule>
    <cfRule type="expression" dxfId="2107" priority="2519">
      <formula>S49=1</formula>
    </cfRule>
  </conditionalFormatting>
  <conditionalFormatting sqref="Q50">
    <cfRule type="expression" dxfId="2106" priority="2514">
      <formula>T50=1</formula>
    </cfRule>
    <cfRule type="expression" dxfId="2105" priority="2515">
      <formula>S50=1</formula>
    </cfRule>
  </conditionalFormatting>
  <conditionalFormatting sqref="Q51">
    <cfRule type="expression" dxfId="2104" priority="2510">
      <formula>T51=1</formula>
    </cfRule>
    <cfRule type="expression" dxfId="2103" priority="2511">
      <formula>S51=1</formula>
    </cfRule>
  </conditionalFormatting>
  <conditionalFormatting sqref="Q52">
    <cfRule type="expression" dxfId="2102" priority="2506">
      <formula>T52=1</formula>
    </cfRule>
    <cfRule type="expression" dxfId="2101" priority="2507">
      <formula>S52=1</formula>
    </cfRule>
  </conditionalFormatting>
  <conditionalFormatting sqref="V46">
    <cfRule type="expression" dxfId="2100" priority="2500">
      <formula>AND(Y46=1,Z46=1)</formula>
    </cfRule>
    <cfRule type="expression" dxfId="2099" priority="2502">
      <formula>Y46=1</formula>
    </cfRule>
    <cfRule type="expression" dxfId="2098" priority="2503">
      <formula>X46=1</formula>
    </cfRule>
  </conditionalFormatting>
  <conditionalFormatting sqref="V46">
    <cfRule type="expression" dxfId="2097" priority="2501">
      <formula>Z46=1</formula>
    </cfRule>
  </conditionalFormatting>
  <conditionalFormatting sqref="V47">
    <cfRule type="expression" dxfId="2096" priority="2498">
      <formula>Y47=1</formula>
    </cfRule>
    <cfRule type="expression" dxfId="2095" priority="2499">
      <formula>X47=1</formula>
    </cfRule>
  </conditionalFormatting>
  <conditionalFormatting sqref="V48">
    <cfRule type="expression" dxfId="2094" priority="2494">
      <formula>Y48=1</formula>
    </cfRule>
    <cfRule type="expression" dxfId="2093" priority="2495">
      <formula>X48=1</formula>
    </cfRule>
  </conditionalFormatting>
  <conditionalFormatting sqref="V50">
    <cfRule type="expression" dxfId="2092" priority="2490">
      <formula>Y50=1</formula>
    </cfRule>
    <cfRule type="expression" dxfId="2091" priority="2491">
      <formula>X50=1</formula>
    </cfRule>
  </conditionalFormatting>
  <conditionalFormatting sqref="V49">
    <cfRule type="expression" dxfId="2090" priority="2486">
      <formula>Y49=1</formula>
    </cfRule>
    <cfRule type="expression" dxfId="2089" priority="2487">
      <formula>X49=1</formula>
    </cfRule>
  </conditionalFormatting>
  <conditionalFormatting sqref="V51">
    <cfRule type="expression" dxfId="2088" priority="2482">
      <formula>Y51=1</formula>
    </cfRule>
    <cfRule type="expression" dxfId="2087" priority="2483">
      <formula>X51=1</formula>
    </cfRule>
  </conditionalFormatting>
  <conditionalFormatting sqref="V52">
    <cfRule type="expression" dxfId="2086" priority="2474">
      <formula>Y52=1</formula>
    </cfRule>
    <cfRule type="expression" dxfId="2085" priority="2475">
      <formula>X52=1</formula>
    </cfRule>
  </conditionalFormatting>
  <conditionalFormatting sqref="AA46">
    <cfRule type="expression" dxfId="2084" priority="2468">
      <formula>AND(AD46=1,AE46=1)</formula>
    </cfRule>
    <cfRule type="expression" dxfId="2083" priority="2470">
      <formula>AD46=1</formula>
    </cfRule>
    <cfRule type="expression" dxfId="2082" priority="2471">
      <formula>AC46=1</formula>
    </cfRule>
  </conditionalFormatting>
  <conditionalFormatting sqref="AA46">
    <cfRule type="expression" dxfId="2081" priority="2469">
      <formula>AE46=1</formula>
    </cfRule>
  </conditionalFormatting>
  <conditionalFormatting sqref="AA47">
    <cfRule type="expression" dxfId="2080" priority="2466">
      <formula>AD47=1</formula>
    </cfRule>
    <cfRule type="expression" dxfId="2079" priority="2467">
      <formula>AC47=1</formula>
    </cfRule>
  </conditionalFormatting>
  <conditionalFormatting sqref="AA48">
    <cfRule type="expression" dxfId="2078" priority="2462">
      <formula>AD48=1</formula>
    </cfRule>
    <cfRule type="expression" dxfId="2077" priority="2463">
      <formula>AC48=1</formula>
    </cfRule>
  </conditionalFormatting>
  <conditionalFormatting sqref="AA49">
    <cfRule type="expression" dxfId="2076" priority="2458">
      <formula>AD49=1</formula>
    </cfRule>
    <cfRule type="expression" dxfId="2075" priority="2459">
      <formula>AC49=1</formula>
    </cfRule>
  </conditionalFormatting>
  <conditionalFormatting sqref="AA50">
    <cfRule type="expression" dxfId="2074" priority="2454">
      <formula>AD50=1</formula>
    </cfRule>
    <cfRule type="expression" dxfId="2073" priority="2455">
      <formula>AC50=1</formula>
    </cfRule>
  </conditionalFormatting>
  <conditionalFormatting sqref="AA51">
    <cfRule type="expression" dxfId="2072" priority="2450">
      <formula>AD51=1</formula>
    </cfRule>
    <cfRule type="expression" dxfId="2071" priority="2451">
      <formula>AC51=1</formula>
    </cfRule>
  </conditionalFormatting>
  <conditionalFormatting sqref="AA52">
    <cfRule type="expression" dxfId="2070" priority="2446">
      <formula>AD52=1</formula>
    </cfRule>
    <cfRule type="expression" dxfId="2069" priority="2447">
      <formula>AC52=1</formula>
    </cfRule>
  </conditionalFormatting>
  <conditionalFormatting sqref="AF46">
    <cfRule type="expression" dxfId="2068" priority="2440">
      <formula>AND(AI46=1,AJ46=1)</formula>
    </cfRule>
    <cfRule type="expression" dxfId="2067" priority="2442">
      <formula>AI46=1</formula>
    </cfRule>
    <cfRule type="expression" dxfId="2066" priority="2443">
      <formula>AH46=1</formula>
    </cfRule>
  </conditionalFormatting>
  <conditionalFormatting sqref="AF46">
    <cfRule type="expression" dxfId="2065" priority="2441">
      <formula>AJ46=1</formula>
    </cfRule>
  </conditionalFormatting>
  <conditionalFormatting sqref="AF47">
    <cfRule type="expression" dxfId="2064" priority="2438">
      <formula>AI47=1</formula>
    </cfRule>
    <cfRule type="expression" dxfId="2063" priority="2439">
      <formula>AH47=1</formula>
    </cfRule>
  </conditionalFormatting>
  <conditionalFormatting sqref="AF48">
    <cfRule type="expression" dxfId="2062" priority="2434">
      <formula>AI48=1</formula>
    </cfRule>
    <cfRule type="expression" dxfId="2061" priority="2435">
      <formula>AH48=1</formula>
    </cfRule>
  </conditionalFormatting>
  <conditionalFormatting sqref="AF49">
    <cfRule type="expression" dxfId="2060" priority="2430">
      <formula>AI49=1</formula>
    </cfRule>
    <cfRule type="expression" dxfId="2059" priority="2431">
      <formula>AH49=1</formula>
    </cfRule>
  </conditionalFormatting>
  <conditionalFormatting sqref="AF50">
    <cfRule type="expression" dxfId="2058" priority="2426">
      <formula>AI50=1</formula>
    </cfRule>
    <cfRule type="expression" dxfId="2057" priority="2427">
      <formula>AH50=1</formula>
    </cfRule>
  </conditionalFormatting>
  <conditionalFormatting sqref="AF51">
    <cfRule type="expression" dxfId="2056" priority="2422">
      <formula>AI51=1</formula>
    </cfRule>
    <cfRule type="expression" dxfId="2055" priority="2423">
      <formula>AH51=1</formula>
    </cfRule>
  </conditionalFormatting>
  <conditionalFormatting sqref="AF52">
    <cfRule type="expression" dxfId="2054" priority="2418">
      <formula>AI52=1</formula>
    </cfRule>
    <cfRule type="expression" dxfId="2053" priority="2419">
      <formula>AH52=1</formula>
    </cfRule>
  </conditionalFormatting>
  <conditionalFormatting sqref="Q54">
    <cfRule type="expression" dxfId="2052" priority="2412">
      <formula>AND(T54=1,U54=1)</formula>
    </cfRule>
    <cfRule type="expression" dxfId="2051" priority="2414">
      <formula>T54=1</formula>
    </cfRule>
    <cfRule type="expression" dxfId="2050" priority="2415">
      <formula>S54=1</formula>
    </cfRule>
  </conditionalFormatting>
  <conditionalFormatting sqref="Q54">
    <cfRule type="expression" dxfId="2049" priority="2413">
      <formula>U54=1</formula>
    </cfRule>
  </conditionalFormatting>
  <conditionalFormatting sqref="Q55">
    <cfRule type="expression" dxfId="2048" priority="2410">
      <formula>T55=1</formula>
    </cfRule>
    <cfRule type="expression" dxfId="2047" priority="2411">
      <formula>S55=1</formula>
    </cfRule>
  </conditionalFormatting>
  <conditionalFormatting sqref="Q56">
    <cfRule type="expression" dxfId="2046" priority="2406">
      <formula>T56=1</formula>
    </cfRule>
    <cfRule type="expression" dxfId="2045" priority="2407">
      <formula>S56=1</formula>
    </cfRule>
  </conditionalFormatting>
  <conditionalFormatting sqref="Q57">
    <cfRule type="expression" dxfId="2044" priority="2402">
      <formula>T57=1</formula>
    </cfRule>
    <cfRule type="expression" dxfId="2043" priority="2403">
      <formula>S57=1</formula>
    </cfRule>
  </conditionalFormatting>
  <conditionalFormatting sqref="Q59">
    <cfRule type="expression" dxfId="2042" priority="2398">
      <formula>T59=1</formula>
    </cfRule>
    <cfRule type="expression" dxfId="2041" priority="2399">
      <formula>S59=1</formula>
    </cfRule>
  </conditionalFormatting>
  <conditionalFormatting sqref="Q58">
    <cfRule type="expression" dxfId="2040" priority="2394">
      <formula>T58=1</formula>
    </cfRule>
    <cfRule type="expression" dxfId="2039" priority="2395">
      <formula>S58=1</formula>
    </cfRule>
  </conditionalFormatting>
  <conditionalFormatting sqref="Q60">
    <cfRule type="expression" dxfId="2038" priority="2390">
      <formula>T60=1</formula>
    </cfRule>
    <cfRule type="expression" dxfId="2037" priority="2391">
      <formula>S60=1</formula>
    </cfRule>
  </conditionalFormatting>
  <conditionalFormatting sqref="V54">
    <cfRule type="expression" dxfId="2036" priority="2384">
      <formula>AND(Y54=1,Z54=1)</formula>
    </cfRule>
    <cfRule type="expression" dxfId="2035" priority="2386">
      <formula>Y54=1</formula>
    </cfRule>
    <cfRule type="expression" dxfId="2034" priority="2387">
      <formula>X54=1</formula>
    </cfRule>
  </conditionalFormatting>
  <conditionalFormatting sqref="V54">
    <cfRule type="expression" dxfId="2033" priority="2385">
      <formula>Z54=1</formula>
    </cfRule>
  </conditionalFormatting>
  <conditionalFormatting sqref="V55">
    <cfRule type="expression" dxfId="2032" priority="2382">
      <formula>Y55=1</formula>
    </cfRule>
    <cfRule type="expression" dxfId="2031" priority="2383">
      <formula>X55=1</formula>
    </cfRule>
  </conditionalFormatting>
  <conditionalFormatting sqref="V56">
    <cfRule type="expression" dxfId="2030" priority="2378">
      <formula>Y56=1</formula>
    </cfRule>
    <cfRule type="expression" dxfId="2029" priority="2379">
      <formula>X56=1</formula>
    </cfRule>
  </conditionalFormatting>
  <conditionalFormatting sqref="V57">
    <cfRule type="expression" dxfId="2028" priority="2374">
      <formula>Y57=1</formula>
    </cfRule>
    <cfRule type="expression" dxfId="2027" priority="2375">
      <formula>X57=1</formula>
    </cfRule>
  </conditionalFormatting>
  <conditionalFormatting sqref="V58">
    <cfRule type="expression" dxfId="2026" priority="2370">
      <formula>Y58=1</formula>
    </cfRule>
    <cfRule type="expression" dxfId="2025" priority="2371">
      <formula>X58=1</formula>
    </cfRule>
  </conditionalFormatting>
  <conditionalFormatting sqref="V59">
    <cfRule type="expression" dxfId="2024" priority="2366">
      <formula>Y59=1</formula>
    </cfRule>
    <cfRule type="expression" dxfId="2023" priority="2367">
      <formula>X59=1</formula>
    </cfRule>
  </conditionalFormatting>
  <conditionalFormatting sqref="V60">
    <cfRule type="expression" dxfId="2022" priority="2362">
      <formula>Y60=1</formula>
    </cfRule>
    <cfRule type="expression" dxfId="2021" priority="2363">
      <formula>X60=1</formula>
    </cfRule>
  </conditionalFormatting>
  <conditionalFormatting sqref="AA54">
    <cfRule type="expression" dxfId="2020" priority="2356">
      <formula>AND(AD54=1,AE54=1)</formula>
    </cfRule>
    <cfRule type="expression" dxfId="2019" priority="2358">
      <formula>AD54=1</formula>
    </cfRule>
    <cfRule type="expression" dxfId="2018" priority="2359">
      <formula>AC54=1</formula>
    </cfRule>
  </conditionalFormatting>
  <conditionalFormatting sqref="AA54">
    <cfRule type="expression" dxfId="2017" priority="2357">
      <formula>AE54=1</formula>
    </cfRule>
  </conditionalFormatting>
  <conditionalFormatting sqref="AA55">
    <cfRule type="expression" dxfId="2016" priority="2354">
      <formula>AD55=1</formula>
    </cfRule>
    <cfRule type="expression" dxfId="2015" priority="2355">
      <formula>AC55=1</formula>
    </cfRule>
  </conditionalFormatting>
  <conditionalFormatting sqref="AA56">
    <cfRule type="expression" dxfId="2014" priority="2350">
      <formula>AD56=1</formula>
    </cfRule>
    <cfRule type="expression" dxfId="2013" priority="2351">
      <formula>AC56=1</formula>
    </cfRule>
  </conditionalFormatting>
  <conditionalFormatting sqref="AA57">
    <cfRule type="expression" dxfId="2012" priority="2346">
      <formula>AD57=1</formula>
    </cfRule>
    <cfRule type="expression" dxfId="2011" priority="2347">
      <formula>AC57=1</formula>
    </cfRule>
  </conditionalFormatting>
  <conditionalFormatting sqref="AA58">
    <cfRule type="expression" dxfId="2010" priority="2342">
      <formula>AD58=1</formula>
    </cfRule>
    <cfRule type="expression" dxfId="2009" priority="2343">
      <formula>AC58=1</formula>
    </cfRule>
  </conditionalFormatting>
  <conditionalFormatting sqref="AA59">
    <cfRule type="expression" dxfId="2008" priority="2338">
      <formula>AD59=1</formula>
    </cfRule>
    <cfRule type="expression" dxfId="2007" priority="2339">
      <formula>AC59=1</formula>
    </cfRule>
  </conditionalFormatting>
  <conditionalFormatting sqref="AA60">
    <cfRule type="expression" dxfId="2006" priority="2334">
      <formula>AD60=1</formula>
    </cfRule>
    <cfRule type="expression" dxfId="2005" priority="2335">
      <formula>AC60=1</formula>
    </cfRule>
  </conditionalFormatting>
  <conditionalFormatting sqref="AF53">
    <cfRule type="expression" dxfId="2004" priority="2329">
      <formula>AND(AI53=1,AJ53=1)</formula>
    </cfRule>
    <cfRule type="expression" dxfId="2003" priority="2330">
      <formula>AI53=1</formula>
    </cfRule>
    <cfRule type="expression" dxfId="2002" priority="2331">
      <formula>AH53=1</formula>
    </cfRule>
  </conditionalFormatting>
  <conditionalFormatting sqref="AF53">
    <cfRule type="expression" dxfId="2001" priority="2328">
      <formula>AJ53=1</formula>
    </cfRule>
  </conditionalFormatting>
  <conditionalFormatting sqref="AF54">
    <cfRule type="expression" dxfId="2000" priority="2324">
      <formula>AND(AI54=1,AJ54=1)</formula>
    </cfRule>
    <cfRule type="expression" dxfId="1999" priority="2326">
      <formula>AI54=1</formula>
    </cfRule>
    <cfRule type="expression" dxfId="1998" priority="2327">
      <formula>AH54=1</formula>
    </cfRule>
  </conditionalFormatting>
  <conditionalFormatting sqref="AF54">
    <cfRule type="expression" dxfId="1997" priority="2325">
      <formula>AJ54=1</formula>
    </cfRule>
  </conditionalFormatting>
  <conditionalFormatting sqref="AF55">
    <cfRule type="expression" dxfId="1996" priority="2322">
      <formula>AI55=1</formula>
    </cfRule>
    <cfRule type="expression" dxfId="1995" priority="2323">
      <formula>AH55=1</formula>
    </cfRule>
  </conditionalFormatting>
  <conditionalFormatting sqref="AF56">
    <cfRule type="expression" dxfId="1994" priority="2318">
      <formula>AI56=1</formula>
    </cfRule>
    <cfRule type="expression" dxfId="1993" priority="2319">
      <formula>AH56=1</formula>
    </cfRule>
  </conditionalFormatting>
  <conditionalFormatting sqref="AF57">
    <cfRule type="expression" dxfId="1992" priority="2314">
      <formula>AI57=1</formula>
    </cfRule>
    <cfRule type="expression" dxfId="1991" priority="2315">
      <formula>AH57=1</formula>
    </cfRule>
  </conditionalFormatting>
  <conditionalFormatting sqref="AF58">
    <cfRule type="expression" dxfId="1990" priority="2310">
      <formula>AI58=1</formula>
    </cfRule>
    <cfRule type="expression" dxfId="1989" priority="2311">
      <formula>AH58=1</formula>
    </cfRule>
  </conditionalFormatting>
  <conditionalFormatting sqref="AF59">
    <cfRule type="expression" dxfId="1988" priority="2306">
      <formula>AI59=1</formula>
    </cfRule>
    <cfRule type="expression" dxfId="1987" priority="2307">
      <formula>AH59=1</formula>
    </cfRule>
  </conditionalFormatting>
  <conditionalFormatting sqref="AF60">
    <cfRule type="expression" dxfId="1986" priority="2302">
      <formula>AI60=1</formula>
    </cfRule>
    <cfRule type="expression" dxfId="1985" priority="2303">
      <formula>AH60=1</formula>
    </cfRule>
  </conditionalFormatting>
  <conditionalFormatting sqref="Q62">
    <cfRule type="expression" dxfId="1984" priority="2296">
      <formula>AND(T62=1,U62=1)</formula>
    </cfRule>
    <cfRule type="expression" dxfId="1983" priority="2298">
      <formula>T62=1</formula>
    </cfRule>
    <cfRule type="expression" dxfId="1982" priority="2299">
      <formula>S62=1</formula>
    </cfRule>
  </conditionalFormatting>
  <conditionalFormatting sqref="Q62">
    <cfRule type="expression" dxfId="1981" priority="2297">
      <formula>U62=1</formula>
    </cfRule>
  </conditionalFormatting>
  <conditionalFormatting sqref="Q63">
    <cfRule type="expression" dxfId="1980" priority="2294">
      <formula>T63=1</formula>
    </cfRule>
    <cfRule type="expression" dxfId="1979" priority="2295">
      <formula>S63=1</formula>
    </cfRule>
  </conditionalFormatting>
  <conditionalFormatting sqref="Q64">
    <cfRule type="expression" dxfId="1978" priority="2290">
      <formula>T64=1</formula>
    </cfRule>
    <cfRule type="expression" dxfId="1977" priority="2291">
      <formula>S64=1</formula>
    </cfRule>
  </conditionalFormatting>
  <conditionalFormatting sqref="Q65">
    <cfRule type="expression" dxfId="1976" priority="2286">
      <formula>T65=1</formula>
    </cfRule>
    <cfRule type="expression" dxfId="1975" priority="2287">
      <formula>S65=1</formula>
    </cfRule>
  </conditionalFormatting>
  <conditionalFormatting sqref="Q66">
    <cfRule type="expression" dxfId="1974" priority="2282">
      <formula>T66=1</formula>
    </cfRule>
    <cfRule type="expression" dxfId="1973" priority="2283">
      <formula>S66=1</formula>
    </cfRule>
  </conditionalFormatting>
  <conditionalFormatting sqref="Q67">
    <cfRule type="expression" dxfId="1972" priority="2278">
      <formula>T67=1</formula>
    </cfRule>
    <cfRule type="expression" dxfId="1971" priority="2279">
      <formula>S67=1</formula>
    </cfRule>
  </conditionalFormatting>
  <conditionalFormatting sqref="Q68">
    <cfRule type="expression" dxfId="1970" priority="2274">
      <formula>T68=1</formula>
    </cfRule>
    <cfRule type="expression" dxfId="1969" priority="2275">
      <formula>S68=1</formula>
    </cfRule>
  </conditionalFormatting>
  <conditionalFormatting sqref="V62">
    <cfRule type="expression" dxfId="1968" priority="2268">
      <formula>AND(Y62=1,Z62=1)</formula>
    </cfRule>
    <cfRule type="expression" dxfId="1967" priority="2270">
      <formula>Y62=1</formula>
    </cfRule>
    <cfRule type="expression" dxfId="1966" priority="2271">
      <formula>X62=1</formula>
    </cfRule>
  </conditionalFormatting>
  <conditionalFormatting sqref="V62">
    <cfRule type="expression" dxfId="1965" priority="2269">
      <formula>Z62=1</formula>
    </cfRule>
  </conditionalFormatting>
  <conditionalFormatting sqref="V63">
    <cfRule type="expression" dxfId="1964" priority="2266">
      <formula>Y63=1</formula>
    </cfRule>
    <cfRule type="expression" dxfId="1963" priority="2267">
      <formula>X63=1</formula>
    </cfRule>
  </conditionalFormatting>
  <conditionalFormatting sqref="V64">
    <cfRule type="expression" dxfId="1962" priority="2262">
      <formula>Y64=1</formula>
    </cfRule>
    <cfRule type="expression" dxfId="1961" priority="2263">
      <formula>X64=1</formula>
    </cfRule>
  </conditionalFormatting>
  <conditionalFormatting sqref="V65">
    <cfRule type="expression" dxfId="1960" priority="2258">
      <formula>Y65=1</formula>
    </cfRule>
    <cfRule type="expression" dxfId="1959" priority="2259">
      <formula>X65=1</formula>
    </cfRule>
  </conditionalFormatting>
  <conditionalFormatting sqref="V66">
    <cfRule type="expression" dxfId="1958" priority="2254">
      <formula>Y66=1</formula>
    </cfRule>
    <cfRule type="expression" dxfId="1957" priority="2255">
      <formula>X66=1</formula>
    </cfRule>
  </conditionalFormatting>
  <conditionalFormatting sqref="V67">
    <cfRule type="expression" dxfId="1956" priority="2250">
      <formula>Y67=1</formula>
    </cfRule>
    <cfRule type="expression" dxfId="1955" priority="2251">
      <formula>X67=1</formula>
    </cfRule>
  </conditionalFormatting>
  <conditionalFormatting sqref="V68">
    <cfRule type="expression" dxfId="1954" priority="2246">
      <formula>Y68=1</formula>
    </cfRule>
    <cfRule type="expression" dxfId="1953" priority="2247">
      <formula>X68=1</formula>
    </cfRule>
  </conditionalFormatting>
  <conditionalFormatting sqref="AA62">
    <cfRule type="expression" dxfId="1952" priority="2240">
      <formula>AND(AD62=1,AE62=1)</formula>
    </cfRule>
    <cfRule type="expression" dxfId="1951" priority="2242">
      <formula>AD62=1</formula>
    </cfRule>
    <cfRule type="expression" dxfId="1950" priority="2243">
      <formula>AC62=1</formula>
    </cfRule>
  </conditionalFormatting>
  <conditionalFormatting sqref="AA62">
    <cfRule type="expression" dxfId="1949" priority="2241">
      <formula>AE62=1</formula>
    </cfRule>
  </conditionalFormatting>
  <conditionalFormatting sqref="AA63">
    <cfRule type="expression" dxfId="1948" priority="2238">
      <formula>AD63=1</formula>
    </cfRule>
    <cfRule type="expression" dxfId="1947" priority="2239">
      <formula>AC63=1</formula>
    </cfRule>
  </conditionalFormatting>
  <conditionalFormatting sqref="AA64">
    <cfRule type="expression" dxfId="1946" priority="2234">
      <formula>AD64=1</formula>
    </cfRule>
    <cfRule type="expression" dxfId="1945" priority="2235">
      <formula>AC64=1</formula>
    </cfRule>
  </conditionalFormatting>
  <conditionalFormatting sqref="AA65">
    <cfRule type="expression" dxfId="1944" priority="2230">
      <formula>AD65=1</formula>
    </cfRule>
    <cfRule type="expression" dxfId="1943" priority="2231">
      <formula>AC65=1</formula>
    </cfRule>
  </conditionalFormatting>
  <conditionalFormatting sqref="AA66">
    <cfRule type="expression" dxfId="1942" priority="2226">
      <formula>AD66=1</formula>
    </cfRule>
    <cfRule type="expression" dxfId="1941" priority="2227">
      <formula>AC66=1</formula>
    </cfRule>
  </conditionalFormatting>
  <conditionalFormatting sqref="AA67">
    <cfRule type="expression" dxfId="1940" priority="2222">
      <formula>AD67=1</formula>
    </cfRule>
    <cfRule type="expression" dxfId="1939" priority="2223">
      <formula>AC67=1</formula>
    </cfRule>
  </conditionalFormatting>
  <conditionalFormatting sqref="AA68">
    <cfRule type="expression" dxfId="1938" priority="2218">
      <formula>AD68=1</formula>
    </cfRule>
    <cfRule type="expression" dxfId="1937" priority="2219">
      <formula>AC68=1</formula>
    </cfRule>
  </conditionalFormatting>
  <conditionalFormatting sqref="AF62">
    <cfRule type="expression" dxfId="1936" priority="2212">
      <formula>AND(AI62=1,AJ62=1)</formula>
    </cfRule>
    <cfRule type="expression" dxfId="1935" priority="2214">
      <formula>AI62=1</formula>
    </cfRule>
    <cfRule type="expression" dxfId="1934" priority="2215">
      <formula>AH62=1</formula>
    </cfRule>
  </conditionalFormatting>
  <conditionalFormatting sqref="AF62">
    <cfRule type="expression" dxfId="1933" priority="2213">
      <formula>AJ62=1</formula>
    </cfRule>
  </conditionalFormatting>
  <conditionalFormatting sqref="AF63">
    <cfRule type="expression" dxfId="1932" priority="2210">
      <formula>AI63=1</formula>
    </cfRule>
    <cfRule type="expression" dxfId="1931" priority="2211">
      <formula>AH63=1</formula>
    </cfRule>
  </conditionalFormatting>
  <conditionalFormatting sqref="AF64">
    <cfRule type="expression" dxfId="1930" priority="2206">
      <formula>AI64=1</formula>
    </cfRule>
    <cfRule type="expression" dxfId="1929" priority="2207">
      <formula>AH64=1</formula>
    </cfRule>
  </conditionalFormatting>
  <conditionalFormatting sqref="AF65">
    <cfRule type="expression" dxfId="1928" priority="2202">
      <formula>AI65=1</formula>
    </cfRule>
    <cfRule type="expression" dxfId="1927" priority="2203">
      <formula>AH65=1</formula>
    </cfRule>
  </conditionalFormatting>
  <conditionalFormatting sqref="AF66">
    <cfRule type="expression" dxfId="1926" priority="2198">
      <formula>AI66=1</formula>
    </cfRule>
    <cfRule type="expression" dxfId="1925" priority="2199">
      <formula>AH66=1</formula>
    </cfRule>
  </conditionalFormatting>
  <conditionalFormatting sqref="AF67">
    <cfRule type="expression" dxfId="1924" priority="2194">
      <formula>AI67=1</formula>
    </cfRule>
    <cfRule type="expression" dxfId="1923" priority="2195">
      <formula>AH67=1</formula>
    </cfRule>
  </conditionalFormatting>
  <conditionalFormatting sqref="AF68">
    <cfRule type="expression" dxfId="1922" priority="2190">
      <formula>AI68=1</formula>
    </cfRule>
    <cfRule type="expression" dxfId="1921" priority="2191">
      <formula>AH68=1</formula>
    </cfRule>
  </conditionalFormatting>
  <conditionalFormatting sqref="Q70">
    <cfRule type="expression" dxfId="1920" priority="2184">
      <formula>AND(T70=1,U70=1)</formula>
    </cfRule>
    <cfRule type="expression" dxfId="1919" priority="2186">
      <formula>T70=1</formula>
    </cfRule>
    <cfRule type="expression" dxfId="1918" priority="2187">
      <formula>S70=1</formula>
    </cfRule>
  </conditionalFormatting>
  <conditionalFormatting sqref="Q70">
    <cfRule type="expression" dxfId="1917" priority="2185">
      <formula>U70=1</formula>
    </cfRule>
  </conditionalFormatting>
  <conditionalFormatting sqref="Q71">
    <cfRule type="expression" dxfId="1916" priority="2182">
      <formula>T71=1</formula>
    </cfRule>
    <cfRule type="expression" dxfId="1915" priority="2183">
      <formula>S71=1</formula>
    </cfRule>
  </conditionalFormatting>
  <conditionalFormatting sqref="Q72">
    <cfRule type="expression" dxfId="1914" priority="2178">
      <formula>T72=1</formula>
    </cfRule>
    <cfRule type="expression" dxfId="1913" priority="2179">
      <formula>S72=1</formula>
    </cfRule>
  </conditionalFormatting>
  <conditionalFormatting sqref="Q73">
    <cfRule type="expression" dxfId="1912" priority="2174">
      <formula>T73=1</formula>
    </cfRule>
    <cfRule type="expression" dxfId="1911" priority="2175">
      <formula>S73=1</formula>
    </cfRule>
  </conditionalFormatting>
  <conditionalFormatting sqref="Q74">
    <cfRule type="expression" dxfId="1910" priority="2170">
      <formula>T74=1</formula>
    </cfRule>
    <cfRule type="expression" dxfId="1909" priority="2171">
      <formula>S74=1</formula>
    </cfRule>
  </conditionalFormatting>
  <conditionalFormatting sqref="Q75">
    <cfRule type="expression" dxfId="1908" priority="2166">
      <formula>T75=1</formula>
    </cfRule>
    <cfRule type="expression" dxfId="1907" priority="2167">
      <formula>S75=1</formula>
    </cfRule>
  </conditionalFormatting>
  <conditionalFormatting sqref="Q76">
    <cfRule type="expression" dxfId="1906" priority="2162">
      <formula>T76=1</formula>
    </cfRule>
    <cfRule type="expression" dxfId="1905" priority="2163">
      <formula>S76=1</formula>
    </cfRule>
  </conditionalFormatting>
  <conditionalFormatting sqref="V70">
    <cfRule type="expression" dxfId="1904" priority="2156">
      <formula>AND(Y70=1,Z70=1)</formula>
    </cfRule>
    <cfRule type="expression" dxfId="1903" priority="2158">
      <formula>Y70=1</formula>
    </cfRule>
    <cfRule type="expression" dxfId="1902" priority="2159">
      <formula>X70=1</formula>
    </cfRule>
  </conditionalFormatting>
  <conditionalFormatting sqref="V70">
    <cfRule type="expression" dxfId="1901" priority="2157">
      <formula>Z70=1</formula>
    </cfRule>
  </conditionalFormatting>
  <conditionalFormatting sqref="V71">
    <cfRule type="expression" dxfId="1900" priority="2154">
      <formula>Y71=1</formula>
    </cfRule>
    <cfRule type="expression" dxfId="1899" priority="2155">
      <formula>X71=1</formula>
    </cfRule>
  </conditionalFormatting>
  <conditionalFormatting sqref="V73">
    <cfRule type="expression" dxfId="1898" priority="2150">
      <formula>Y73=1</formula>
    </cfRule>
    <cfRule type="expression" dxfId="1897" priority="2151">
      <formula>X73=1</formula>
    </cfRule>
  </conditionalFormatting>
  <conditionalFormatting sqref="V72">
    <cfRule type="expression" dxfId="1896" priority="2146">
      <formula>Y72=1</formula>
    </cfRule>
    <cfRule type="expression" dxfId="1895" priority="2147">
      <formula>X72=1</formula>
    </cfRule>
  </conditionalFormatting>
  <conditionalFormatting sqref="V74">
    <cfRule type="expression" dxfId="1894" priority="2142">
      <formula>Y74=1</formula>
    </cfRule>
    <cfRule type="expression" dxfId="1893" priority="2143">
      <formula>X74=1</formula>
    </cfRule>
  </conditionalFormatting>
  <conditionalFormatting sqref="V75">
    <cfRule type="expression" dxfId="1892" priority="2138">
      <formula>Y75=1</formula>
    </cfRule>
    <cfRule type="expression" dxfId="1891" priority="2139">
      <formula>X75=1</formula>
    </cfRule>
  </conditionalFormatting>
  <conditionalFormatting sqref="V76">
    <cfRule type="expression" dxfId="1890" priority="2134">
      <formula>Y76=1</formula>
    </cfRule>
    <cfRule type="expression" dxfId="1889" priority="2135">
      <formula>X76=1</formula>
    </cfRule>
  </conditionalFormatting>
  <conditionalFormatting sqref="AA70">
    <cfRule type="expression" dxfId="1888" priority="2128">
      <formula>AND(AD70=1,AE70=1)</formula>
    </cfRule>
    <cfRule type="expression" dxfId="1887" priority="2130">
      <formula>AD70=1</formula>
    </cfRule>
    <cfRule type="expression" dxfId="1886" priority="2131">
      <formula>AC70=1</formula>
    </cfRule>
  </conditionalFormatting>
  <conditionalFormatting sqref="AA70">
    <cfRule type="expression" dxfId="1885" priority="2129">
      <formula>AE70=1</formula>
    </cfRule>
  </conditionalFormatting>
  <conditionalFormatting sqref="AA71">
    <cfRule type="expression" dxfId="1884" priority="2126">
      <formula>AD71=1</formula>
    </cfRule>
    <cfRule type="expression" dxfId="1883" priority="2127">
      <formula>AC71=1</formula>
    </cfRule>
  </conditionalFormatting>
  <conditionalFormatting sqref="AA72">
    <cfRule type="expression" dxfId="1882" priority="2122">
      <formula>AD72=1</formula>
    </cfRule>
    <cfRule type="expression" dxfId="1881" priority="2123">
      <formula>AC72=1</formula>
    </cfRule>
  </conditionalFormatting>
  <conditionalFormatting sqref="AA73">
    <cfRule type="expression" dxfId="1880" priority="2118">
      <formula>AD73=1</formula>
    </cfRule>
    <cfRule type="expression" dxfId="1879" priority="2119">
      <formula>AC73=1</formula>
    </cfRule>
  </conditionalFormatting>
  <conditionalFormatting sqref="AA74">
    <cfRule type="expression" dxfId="1878" priority="2114">
      <formula>AD74=1</formula>
    </cfRule>
    <cfRule type="expression" dxfId="1877" priority="2115">
      <formula>AC74=1</formula>
    </cfRule>
  </conditionalFormatting>
  <conditionalFormatting sqref="AA75">
    <cfRule type="expression" dxfId="1876" priority="2110">
      <formula>AD75=1</formula>
    </cfRule>
    <cfRule type="expression" dxfId="1875" priority="2111">
      <formula>AC75=1</formula>
    </cfRule>
  </conditionalFormatting>
  <conditionalFormatting sqref="AA76">
    <cfRule type="expression" dxfId="1874" priority="2106">
      <formula>AD76=1</formula>
    </cfRule>
    <cfRule type="expression" dxfId="1873" priority="2107">
      <formula>AC76=1</formula>
    </cfRule>
  </conditionalFormatting>
  <conditionalFormatting sqref="AF70">
    <cfRule type="expression" dxfId="1872" priority="2100">
      <formula>AND(AI70=1,AJ70=1)</formula>
    </cfRule>
    <cfRule type="expression" dxfId="1871" priority="2102">
      <formula>AI70=1</formula>
    </cfRule>
    <cfRule type="expression" dxfId="1870" priority="2103">
      <formula>AH70=1</formula>
    </cfRule>
  </conditionalFormatting>
  <conditionalFormatting sqref="AF70">
    <cfRule type="expression" dxfId="1869" priority="2101">
      <formula>AJ70=1</formula>
    </cfRule>
  </conditionalFormatting>
  <conditionalFormatting sqref="AF71">
    <cfRule type="expression" dxfId="1868" priority="2098">
      <formula>AI71=1</formula>
    </cfRule>
    <cfRule type="expression" dxfId="1867" priority="2099">
      <formula>AH71=1</formula>
    </cfRule>
  </conditionalFormatting>
  <conditionalFormatting sqref="AF72">
    <cfRule type="expression" dxfId="1866" priority="2094">
      <formula>AI72=1</formula>
    </cfRule>
    <cfRule type="expression" dxfId="1865" priority="2095">
      <formula>AH72=1</formula>
    </cfRule>
  </conditionalFormatting>
  <conditionalFormatting sqref="AF73">
    <cfRule type="expression" dxfId="1864" priority="2090">
      <formula>AI73=1</formula>
    </cfRule>
    <cfRule type="expression" dxfId="1863" priority="2091">
      <formula>AH73=1</formula>
    </cfRule>
  </conditionalFormatting>
  <conditionalFormatting sqref="AF74">
    <cfRule type="expression" dxfId="1862" priority="2086">
      <formula>AI74=1</formula>
    </cfRule>
    <cfRule type="expression" dxfId="1861" priority="2087">
      <formula>AH74=1</formula>
    </cfRule>
  </conditionalFormatting>
  <conditionalFormatting sqref="AF75">
    <cfRule type="expression" dxfId="1860" priority="2082">
      <formula>AI75=1</formula>
    </cfRule>
    <cfRule type="expression" dxfId="1859" priority="2083">
      <formula>AH75=1</formula>
    </cfRule>
  </conditionalFormatting>
  <conditionalFormatting sqref="AF76">
    <cfRule type="expression" dxfId="1858" priority="2078">
      <formula>AI76=1</formula>
    </cfRule>
    <cfRule type="expression" dxfId="1857" priority="2079">
      <formula>AH76=1</formula>
    </cfRule>
  </conditionalFormatting>
  <conditionalFormatting sqref="Q78">
    <cfRule type="expression" dxfId="1856" priority="2072">
      <formula>AND(T78=1,U78=1)</formula>
    </cfRule>
    <cfRule type="expression" dxfId="1855" priority="2074">
      <formula>T78=1</formula>
    </cfRule>
    <cfRule type="expression" dxfId="1854" priority="2075">
      <formula>S78=1</formula>
    </cfRule>
  </conditionalFormatting>
  <conditionalFormatting sqref="Q78">
    <cfRule type="expression" dxfId="1853" priority="2073">
      <formula>U78=1</formula>
    </cfRule>
  </conditionalFormatting>
  <conditionalFormatting sqref="Q79">
    <cfRule type="expression" dxfId="1852" priority="2070">
      <formula>T79=1</formula>
    </cfRule>
    <cfRule type="expression" dxfId="1851" priority="2071">
      <formula>S79=1</formula>
    </cfRule>
  </conditionalFormatting>
  <conditionalFormatting sqref="Q80">
    <cfRule type="expression" dxfId="1850" priority="2066">
      <formula>T80=1</formula>
    </cfRule>
    <cfRule type="expression" dxfId="1849" priority="2067">
      <formula>S80=1</formula>
    </cfRule>
  </conditionalFormatting>
  <conditionalFormatting sqref="Q81">
    <cfRule type="expression" dxfId="1848" priority="2062">
      <formula>T81=1</formula>
    </cfRule>
    <cfRule type="expression" dxfId="1847" priority="2063">
      <formula>S81=1</formula>
    </cfRule>
  </conditionalFormatting>
  <conditionalFormatting sqref="Q82">
    <cfRule type="expression" dxfId="1846" priority="2058">
      <formula>T82=1</formula>
    </cfRule>
    <cfRule type="expression" dxfId="1845" priority="2059">
      <formula>S82=1</formula>
    </cfRule>
  </conditionalFormatting>
  <conditionalFormatting sqref="Q84">
    <cfRule type="expression" dxfId="1844" priority="2054">
      <formula>T84=1</formula>
    </cfRule>
    <cfRule type="expression" dxfId="1843" priority="2055">
      <formula>S84=1</formula>
    </cfRule>
  </conditionalFormatting>
  <conditionalFormatting sqref="Q83">
    <cfRule type="expression" dxfId="1842" priority="2050">
      <formula>T83=1</formula>
    </cfRule>
    <cfRule type="expression" dxfId="1841" priority="2051">
      <formula>S83=1</formula>
    </cfRule>
  </conditionalFormatting>
  <conditionalFormatting sqref="V78">
    <cfRule type="expression" dxfId="1840" priority="2044">
      <formula>AND(Y78=1,Z78=1)</formula>
    </cfRule>
    <cfRule type="expression" dxfId="1839" priority="2046">
      <formula>Y78=1</formula>
    </cfRule>
    <cfRule type="expression" dxfId="1838" priority="2047">
      <formula>X78=1</formula>
    </cfRule>
  </conditionalFormatting>
  <conditionalFormatting sqref="V78">
    <cfRule type="expression" dxfId="1837" priority="2045">
      <formula>Z78=1</formula>
    </cfRule>
  </conditionalFormatting>
  <conditionalFormatting sqref="V79">
    <cfRule type="expression" dxfId="1836" priority="2042">
      <formula>Y79=1</formula>
    </cfRule>
    <cfRule type="expression" dxfId="1835" priority="2043">
      <formula>X79=1</formula>
    </cfRule>
  </conditionalFormatting>
  <conditionalFormatting sqref="V80">
    <cfRule type="expression" dxfId="1834" priority="2038">
      <formula>Y80=1</formula>
    </cfRule>
    <cfRule type="expression" dxfId="1833" priority="2039">
      <formula>X80=1</formula>
    </cfRule>
  </conditionalFormatting>
  <conditionalFormatting sqref="V81">
    <cfRule type="expression" dxfId="1832" priority="2034">
      <formula>Y81=1</formula>
    </cfRule>
    <cfRule type="expression" dxfId="1831" priority="2035">
      <formula>X81=1</formula>
    </cfRule>
  </conditionalFormatting>
  <conditionalFormatting sqref="V82">
    <cfRule type="expression" dxfId="1830" priority="2030">
      <formula>Y82=1</formula>
    </cfRule>
    <cfRule type="expression" dxfId="1829" priority="2031">
      <formula>X82=1</formula>
    </cfRule>
  </conditionalFormatting>
  <conditionalFormatting sqref="V83">
    <cfRule type="expression" dxfId="1828" priority="2026">
      <formula>Y83=1</formula>
    </cfRule>
    <cfRule type="expression" dxfId="1827" priority="2027">
      <formula>X83=1</formula>
    </cfRule>
  </conditionalFormatting>
  <conditionalFormatting sqref="V84">
    <cfRule type="expression" dxfId="1826" priority="2022">
      <formula>Y84=1</formula>
    </cfRule>
    <cfRule type="expression" dxfId="1825" priority="2023">
      <formula>X84=1</formula>
    </cfRule>
  </conditionalFormatting>
  <conditionalFormatting sqref="AA78">
    <cfRule type="expression" dxfId="1824" priority="2016">
      <formula>AND(AD78=1,AE78=1)</formula>
    </cfRule>
    <cfRule type="expression" dxfId="1823" priority="2018">
      <formula>AD78=1</formula>
    </cfRule>
    <cfRule type="expression" dxfId="1822" priority="2019">
      <formula>AC78=1</formula>
    </cfRule>
  </conditionalFormatting>
  <conditionalFormatting sqref="AA78">
    <cfRule type="expression" dxfId="1821" priority="2017">
      <formula>AE78=1</formula>
    </cfRule>
  </conditionalFormatting>
  <conditionalFormatting sqref="AA79">
    <cfRule type="expression" dxfId="1820" priority="2014">
      <formula>AD79=1</formula>
    </cfRule>
    <cfRule type="expression" dxfId="1819" priority="2015">
      <formula>AC79=1</formula>
    </cfRule>
  </conditionalFormatting>
  <conditionalFormatting sqref="AA80">
    <cfRule type="expression" dxfId="1818" priority="2010">
      <formula>AD80=1</formula>
    </cfRule>
    <cfRule type="expression" dxfId="1817" priority="2011">
      <formula>AC80=1</formula>
    </cfRule>
  </conditionalFormatting>
  <conditionalFormatting sqref="AA81">
    <cfRule type="expression" dxfId="1816" priority="2006">
      <formula>AD81=1</formula>
    </cfRule>
    <cfRule type="expression" dxfId="1815" priority="2007">
      <formula>AC81=1</formula>
    </cfRule>
  </conditionalFormatting>
  <conditionalFormatting sqref="AA82">
    <cfRule type="expression" dxfId="1814" priority="2002">
      <formula>AD82=1</formula>
    </cfRule>
    <cfRule type="expression" dxfId="1813" priority="2003">
      <formula>AC82=1</formula>
    </cfRule>
  </conditionalFormatting>
  <conditionalFormatting sqref="AA83">
    <cfRule type="expression" dxfId="1812" priority="1998">
      <formula>AD83=1</formula>
    </cfRule>
    <cfRule type="expression" dxfId="1811" priority="1999">
      <formula>AC83=1</formula>
    </cfRule>
  </conditionalFormatting>
  <conditionalFormatting sqref="AA84">
    <cfRule type="expression" dxfId="1810" priority="1994">
      <formula>AD84=1</formula>
    </cfRule>
    <cfRule type="expression" dxfId="1809" priority="1995">
      <formula>AC84=1</formula>
    </cfRule>
  </conditionalFormatting>
  <conditionalFormatting sqref="AF78">
    <cfRule type="expression" dxfId="1808" priority="1988">
      <formula>AND(AI78=1,AJ78=1)</formula>
    </cfRule>
    <cfRule type="expression" dxfId="1807" priority="1990">
      <formula>AI78=1</formula>
    </cfRule>
    <cfRule type="expression" dxfId="1806" priority="1991">
      <formula>AH78=1</formula>
    </cfRule>
  </conditionalFormatting>
  <conditionalFormatting sqref="AF78">
    <cfRule type="expression" dxfId="1805" priority="1989">
      <formula>AJ78=1</formula>
    </cfRule>
  </conditionalFormatting>
  <conditionalFormatting sqref="AF79">
    <cfRule type="expression" dxfId="1804" priority="1986">
      <formula>AI79=1</formula>
    </cfRule>
    <cfRule type="expression" dxfId="1803" priority="1987">
      <formula>AH79=1</formula>
    </cfRule>
  </conditionalFormatting>
  <conditionalFormatting sqref="AF80">
    <cfRule type="expression" dxfId="1802" priority="1982">
      <formula>AI80=1</formula>
    </cfRule>
    <cfRule type="expression" dxfId="1801" priority="1983">
      <formula>AH80=1</formula>
    </cfRule>
  </conditionalFormatting>
  <conditionalFormatting sqref="AF81">
    <cfRule type="expression" dxfId="1800" priority="1978">
      <formula>AI81=1</formula>
    </cfRule>
    <cfRule type="expression" dxfId="1799" priority="1979">
      <formula>AH81=1</formula>
    </cfRule>
  </conditionalFormatting>
  <conditionalFormatting sqref="AF82">
    <cfRule type="expression" dxfId="1798" priority="1974">
      <formula>AI82=1</formula>
    </cfRule>
    <cfRule type="expression" dxfId="1797" priority="1975">
      <formula>AH82=1</formula>
    </cfRule>
  </conditionalFormatting>
  <conditionalFormatting sqref="AF84">
    <cfRule type="expression" dxfId="1796" priority="1970">
      <formula>AI84=1</formula>
    </cfRule>
    <cfRule type="expression" dxfId="1795" priority="1971">
      <formula>AH84=1</formula>
    </cfRule>
  </conditionalFormatting>
  <conditionalFormatting sqref="AF83">
    <cfRule type="expression" dxfId="1794" priority="1966">
      <formula>AI83=1</formula>
    </cfRule>
    <cfRule type="expression" dxfId="1793" priority="1967">
      <formula>AH83=1</formula>
    </cfRule>
  </conditionalFormatting>
  <conditionalFormatting sqref="AF42">
    <cfRule type="expression" dxfId="1792" priority="1959">
      <formula>AH42=1</formula>
    </cfRule>
  </conditionalFormatting>
  <conditionalFormatting sqref="L86">
    <cfRule type="expression" dxfId="1791" priority="1952">
      <formula>AND(O86=1,P86=1)</formula>
    </cfRule>
    <cfRule type="expression" dxfId="1790" priority="1954">
      <formula>O86=1</formula>
    </cfRule>
    <cfRule type="expression" dxfId="1789" priority="1955">
      <formula>N86=1</formula>
    </cfRule>
  </conditionalFormatting>
  <conditionalFormatting sqref="L86">
    <cfRule type="expression" dxfId="1788" priority="1953">
      <formula>P86=1</formula>
    </cfRule>
  </conditionalFormatting>
  <conditionalFormatting sqref="L94">
    <cfRule type="expression" dxfId="1787" priority="1948">
      <formula>AND(O94=1,P94=1)</formula>
    </cfRule>
    <cfRule type="expression" dxfId="1786" priority="1950">
      <formula>O94=1</formula>
    </cfRule>
    <cfRule type="expression" dxfId="1785" priority="1951">
      <formula>N94=1</formula>
    </cfRule>
  </conditionalFormatting>
  <conditionalFormatting sqref="L94">
    <cfRule type="expression" dxfId="1784" priority="1949">
      <formula>P94=1</formula>
    </cfRule>
  </conditionalFormatting>
  <conditionalFormatting sqref="Q86">
    <cfRule type="expression" dxfId="1783" priority="1944">
      <formula>AND(T86=1,U86=1)</formula>
    </cfRule>
    <cfRule type="expression" dxfId="1782" priority="1946">
      <formula>T86=1</formula>
    </cfRule>
    <cfRule type="expression" dxfId="1781" priority="1947">
      <formula>S86=1</formula>
    </cfRule>
  </conditionalFormatting>
  <conditionalFormatting sqref="Q86">
    <cfRule type="expression" dxfId="1780" priority="1945">
      <formula>U86=1</formula>
    </cfRule>
  </conditionalFormatting>
  <conditionalFormatting sqref="Q94">
    <cfRule type="expression" dxfId="1779" priority="1940">
      <formula>AND(T94=1,U94=1)</formula>
    </cfRule>
    <cfRule type="expression" dxfId="1778" priority="1942">
      <formula>T94=1</formula>
    </cfRule>
    <cfRule type="expression" dxfId="1777" priority="1943">
      <formula>S94=1</formula>
    </cfRule>
  </conditionalFormatting>
  <conditionalFormatting sqref="Q94">
    <cfRule type="expression" dxfId="1776" priority="1941">
      <formula>U94=1</formula>
    </cfRule>
  </conditionalFormatting>
  <conditionalFormatting sqref="V86">
    <cfRule type="expression" dxfId="1775" priority="1936">
      <formula>AND(Y86=1,Z86=1)</formula>
    </cfRule>
    <cfRule type="expression" dxfId="1774" priority="1938">
      <formula>Y86=1</formula>
    </cfRule>
    <cfRule type="expression" dxfId="1773" priority="1939">
      <formula>X86=1</formula>
    </cfRule>
  </conditionalFormatting>
  <conditionalFormatting sqref="V86">
    <cfRule type="expression" dxfId="1772" priority="1937">
      <formula>Z86=1</formula>
    </cfRule>
  </conditionalFormatting>
  <conditionalFormatting sqref="V94">
    <cfRule type="expression" dxfId="1771" priority="1932">
      <formula>AND(Y94=1,Z94=1)</formula>
    </cfRule>
    <cfRule type="expression" dxfId="1770" priority="1934">
      <formula>Y94=1</formula>
    </cfRule>
    <cfRule type="expression" dxfId="1769" priority="1935">
      <formula>X94=1</formula>
    </cfRule>
  </conditionalFormatting>
  <conditionalFormatting sqref="V94">
    <cfRule type="expression" dxfId="1768" priority="1933">
      <formula>Z94=1</formula>
    </cfRule>
  </conditionalFormatting>
  <conditionalFormatting sqref="AA94">
    <cfRule type="expression" dxfId="1767" priority="1928">
      <formula>AND(AD94=1,AE94=1)</formula>
    </cfRule>
    <cfRule type="expression" dxfId="1766" priority="1930">
      <formula>AD94=1</formula>
    </cfRule>
    <cfRule type="expression" dxfId="1765" priority="1931">
      <formula>AC94=1</formula>
    </cfRule>
  </conditionalFormatting>
  <conditionalFormatting sqref="AA94">
    <cfRule type="expression" dxfId="1764" priority="1929">
      <formula>AE94=1</formula>
    </cfRule>
  </conditionalFormatting>
  <conditionalFormatting sqref="AA86">
    <cfRule type="expression" dxfId="1763" priority="1924">
      <formula>AND(AD86=1,AE86=1)</formula>
    </cfRule>
    <cfRule type="expression" dxfId="1762" priority="1926">
      <formula>AD86=1</formula>
    </cfRule>
    <cfRule type="expression" dxfId="1761" priority="1927">
      <formula>AC86=1</formula>
    </cfRule>
  </conditionalFormatting>
  <conditionalFormatting sqref="AA86">
    <cfRule type="expression" dxfId="1760" priority="1925">
      <formula>AE86=1</formula>
    </cfRule>
  </conditionalFormatting>
  <conditionalFormatting sqref="AF86">
    <cfRule type="expression" dxfId="1759" priority="1920">
      <formula>AND(AI86=1,AJ86=1)</formula>
    </cfRule>
    <cfRule type="expression" dxfId="1758" priority="1922">
      <formula>AI86=1</formula>
    </cfRule>
    <cfRule type="expression" dxfId="1757" priority="1923">
      <formula>AH86=1</formula>
    </cfRule>
  </conditionalFormatting>
  <conditionalFormatting sqref="AF86">
    <cfRule type="expression" dxfId="1756" priority="1921">
      <formula>AJ86=1</formula>
    </cfRule>
  </conditionalFormatting>
  <conditionalFormatting sqref="AF94">
    <cfRule type="expression" dxfId="1755" priority="1916">
      <formula>AND(AI94=1,AJ94=1)</formula>
    </cfRule>
    <cfRule type="expression" dxfId="1754" priority="1918">
      <formula>AI94=1</formula>
    </cfRule>
    <cfRule type="expression" dxfId="1753" priority="1919">
      <formula>AH94=1</formula>
    </cfRule>
  </conditionalFormatting>
  <conditionalFormatting sqref="AF94">
    <cfRule type="expression" dxfId="1752" priority="1917">
      <formula>AJ94=1</formula>
    </cfRule>
  </conditionalFormatting>
  <conditionalFormatting sqref="L87">
    <cfRule type="expression" dxfId="1751" priority="1914">
      <formula>O87=1</formula>
    </cfRule>
    <cfRule type="expression" dxfId="1750" priority="1915">
      <formula>N87=1</formula>
    </cfRule>
  </conditionalFormatting>
  <conditionalFormatting sqref="L88">
    <cfRule type="expression" dxfId="1749" priority="1912">
      <formula>O88=1</formula>
    </cfRule>
    <cfRule type="expression" dxfId="1748" priority="1913">
      <formula>N88=1</formula>
    </cfRule>
  </conditionalFormatting>
  <conditionalFormatting sqref="L89">
    <cfRule type="expression" dxfId="1747" priority="1910">
      <formula>O89=1</formula>
    </cfRule>
    <cfRule type="expression" dxfId="1746" priority="1911">
      <formula>N89=1</formula>
    </cfRule>
  </conditionalFormatting>
  <conditionalFormatting sqref="L90">
    <cfRule type="expression" dxfId="1745" priority="1908">
      <formula>O90=1</formula>
    </cfRule>
    <cfRule type="expression" dxfId="1744" priority="1909">
      <formula>N90=1</formula>
    </cfRule>
  </conditionalFormatting>
  <conditionalFormatting sqref="L91">
    <cfRule type="expression" dxfId="1743" priority="1906">
      <formula>O91=1</formula>
    </cfRule>
    <cfRule type="expression" dxfId="1742" priority="1907">
      <formula>N91=1</formula>
    </cfRule>
  </conditionalFormatting>
  <conditionalFormatting sqref="L92">
    <cfRule type="expression" dxfId="1741" priority="1904">
      <formula>O92=1</formula>
    </cfRule>
    <cfRule type="expression" dxfId="1740" priority="1905">
      <formula>N92=1</formula>
    </cfRule>
  </conditionalFormatting>
  <conditionalFormatting sqref="Q87">
    <cfRule type="expression" dxfId="1739" priority="1902">
      <formula>T87=1</formula>
    </cfRule>
    <cfRule type="expression" dxfId="1738" priority="1903">
      <formula>S87=1</formula>
    </cfRule>
  </conditionalFormatting>
  <conditionalFormatting sqref="Q88">
    <cfRule type="expression" dxfId="1737" priority="1900">
      <formula>T88=1</formula>
    </cfRule>
    <cfRule type="expression" dxfId="1736" priority="1901">
      <formula>S88=1</formula>
    </cfRule>
  </conditionalFormatting>
  <conditionalFormatting sqref="Q89">
    <cfRule type="expression" dxfId="1735" priority="1898">
      <formula>T89=1</formula>
    </cfRule>
    <cfRule type="expression" dxfId="1734" priority="1899">
      <formula>S89=1</formula>
    </cfRule>
  </conditionalFormatting>
  <conditionalFormatting sqref="Q90">
    <cfRule type="expression" dxfId="1733" priority="1896">
      <formula>T90=1</formula>
    </cfRule>
    <cfRule type="expression" dxfId="1732" priority="1897">
      <formula>S90=1</formula>
    </cfRule>
  </conditionalFormatting>
  <conditionalFormatting sqref="Q91">
    <cfRule type="expression" dxfId="1731" priority="1894">
      <formula>T91=1</formula>
    </cfRule>
    <cfRule type="expression" dxfId="1730" priority="1895">
      <formula>S91=1</formula>
    </cfRule>
  </conditionalFormatting>
  <conditionalFormatting sqref="Q92">
    <cfRule type="expression" dxfId="1729" priority="1892">
      <formula>T92=1</formula>
    </cfRule>
    <cfRule type="expression" dxfId="1728" priority="1893">
      <formula>S92=1</formula>
    </cfRule>
  </conditionalFormatting>
  <conditionalFormatting sqref="V87">
    <cfRule type="expression" dxfId="1727" priority="1890">
      <formula>Y87=1</formula>
    </cfRule>
    <cfRule type="expression" dxfId="1726" priority="1891">
      <formula>X87=1</formula>
    </cfRule>
  </conditionalFormatting>
  <conditionalFormatting sqref="V88">
    <cfRule type="expression" dxfId="1725" priority="1888">
      <formula>Y88=1</formula>
    </cfRule>
    <cfRule type="expression" dxfId="1724" priority="1889">
      <formula>X88=1</formula>
    </cfRule>
  </conditionalFormatting>
  <conditionalFormatting sqref="V89">
    <cfRule type="expression" dxfId="1723" priority="1886">
      <formula>Y89=1</formula>
    </cfRule>
    <cfRule type="expression" dxfId="1722" priority="1887">
      <formula>X89=1</formula>
    </cfRule>
  </conditionalFormatting>
  <conditionalFormatting sqref="V90">
    <cfRule type="expression" dxfId="1721" priority="1884">
      <formula>Y90=1</formula>
    </cfRule>
    <cfRule type="expression" dxfId="1720" priority="1885">
      <formula>X90=1</formula>
    </cfRule>
  </conditionalFormatting>
  <conditionalFormatting sqref="V91">
    <cfRule type="expression" dxfId="1719" priority="1882">
      <formula>Y91=1</formula>
    </cfRule>
    <cfRule type="expression" dxfId="1718" priority="1883">
      <formula>X91=1</formula>
    </cfRule>
  </conditionalFormatting>
  <conditionalFormatting sqref="V92">
    <cfRule type="expression" dxfId="1717" priority="1880">
      <formula>Y92=1</formula>
    </cfRule>
    <cfRule type="expression" dxfId="1716" priority="1881">
      <formula>X92=1</formula>
    </cfRule>
  </conditionalFormatting>
  <conditionalFormatting sqref="AA87">
    <cfRule type="expression" dxfId="1715" priority="1878">
      <formula>AD87=1</formula>
    </cfRule>
    <cfRule type="expression" dxfId="1714" priority="1879">
      <formula>AC87=1</formula>
    </cfRule>
  </conditionalFormatting>
  <conditionalFormatting sqref="AA88">
    <cfRule type="expression" dxfId="1713" priority="1876">
      <formula>AD88=1</formula>
    </cfRule>
    <cfRule type="expression" dxfId="1712" priority="1877">
      <formula>AC88=1</formula>
    </cfRule>
  </conditionalFormatting>
  <conditionalFormatting sqref="AA89">
    <cfRule type="expression" dxfId="1711" priority="1874">
      <formula>AD89=1</formula>
    </cfRule>
    <cfRule type="expression" dxfId="1710" priority="1875">
      <formula>AC89=1</formula>
    </cfRule>
  </conditionalFormatting>
  <conditionalFormatting sqref="AA90">
    <cfRule type="expression" dxfId="1709" priority="1872">
      <formula>AD90=1</formula>
    </cfRule>
    <cfRule type="expression" dxfId="1708" priority="1873">
      <formula>AC90=1</formula>
    </cfRule>
  </conditionalFormatting>
  <conditionalFormatting sqref="AA91">
    <cfRule type="expression" dxfId="1707" priority="1870">
      <formula>AD91=1</formula>
    </cfRule>
    <cfRule type="expression" dxfId="1706" priority="1871">
      <formula>AC91=1</formula>
    </cfRule>
  </conditionalFormatting>
  <conditionalFormatting sqref="AA92">
    <cfRule type="expression" dxfId="1705" priority="1868">
      <formula>AD92=1</formula>
    </cfRule>
    <cfRule type="expression" dxfId="1704" priority="1869">
      <formula>AC92=1</formula>
    </cfRule>
  </conditionalFormatting>
  <conditionalFormatting sqref="AF87">
    <cfRule type="expression" dxfId="1703" priority="1866">
      <formula>AI87=1</formula>
    </cfRule>
    <cfRule type="expression" dxfId="1702" priority="1867">
      <formula>AH87=1</formula>
    </cfRule>
  </conditionalFormatting>
  <conditionalFormatting sqref="AF88">
    <cfRule type="expression" dxfId="1701" priority="1864">
      <formula>AI88=1</formula>
    </cfRule>
    <cfRule type="expression" dxfId="1700" priority="1865">
      <formula>AH88=1</formula>
    </cfRule>
  </conditionalFormatting>
  <conditionalFormatting sqref="AF89">
    <cfRule type="expression" dxfId="1699" priority="1862">
      <formula>AI89=1</formula>
    </cfRule>
    <cfRule type="expression" dxfId="1698" priority="1863">
      <formula>AH89=1</formula>
    </cfRule>
  </conditionalFormatting>
  <conditionalFormatting sqref="AF90">
    <cfRule type="expression" dxfId="1697" priority="1860">
      <formula>AI90=1</formula>
    </cfRule>
    <cfRule type="expression" dxfId="1696" priority="1861">
      <formula>AH90=1</formula>
    </cfRule>
  </conditionalFormatting>
  <conditionalFormatting sqref="AF91">
    <cfRule type="expression" dxfId="1695" priority="1858">
      <formula>AI91=1</formula>
    </cfRule>
    <cfRule type="expression" dxfId="1694" priority="1859">
      <formula>AH91=1</formula>
    </cfRule>
  </conditionalFormatting>
  <conditionalFormatting sqref="AF92">
    <cfRule type="expression" dxfId="1693" priority="1856">
      <formula>AI92=1</formula>
    </cfRule>
    <cfRule type="expression" dxfId="1692" priority="1857">
      <formula>AH92=1</formula>
    </cfRule>
  </conditionalFormatting>
  <conditionalFormatting sqref="L95">
    <cfRule type="expression" dxfId="1691" priority="1854">
      <formula>O95=1</formula>
    </cfRule>
    <cfRule type="expression" dxfId="1690" priority="1855">
      <formula>N95=1</formula>
    </cfRule>
  </conditionalFormatting>
  <conditionalFormatting sqref="L96">
    <cfRule type="expression" dxfId="1689" priority="1852">
      <formula>O96=1</formula>
    </cfRule>
    <cfRule type="expression" dxfId="1688" priority="1853">
      <formula>N96=1</formula>
    </cfRule>
  </conditionalFormatting>
  <conditionalFormatting sqref="L97">
    <cfRule type="expression" dxfId="1687" priority="1850">
      <formula>O97=1</formula>
    </cfRule>
    <cfRule type="expression" dxfId="1686" priority="1851">
      <formula>N97=1</formula>
    </cfRule>
  </conditionalFormatting>
  <conditionalFormatting sqref="L98">
    <cfRule type="expression" dxfId="1685" priority="1848">
      <formula>O98=1</formula>
    </cfRule>
    <cfRule type="expression" dxfId="1684" priority="1849">
      <formula>N98=1</formula>
    </cfRule>
  </conditionalFormatting>
  <conditionalFormatting sqref="L99">
    <cfRule type="expression" dxfId="1683" priority="1846">
      <formula>O99=1</formula>
    </cfRule>
    <cfRule type="expression" dxfId="1682" priority="1847">
      <formula>N99=1</formula>
    </cfRule>
  </conditionalFormatting>
  <conditionalFormatting sqref="L100">
    <cfRule type="expression" dxfId="1681" priority="1844">
      <formula>O100=1</formula>
    </cfRule>
    <cfRule type="expression" dxfId="1680" priority="1845">
      <formula>N100=1</formula>
    </cfRule>
  </conditionalFormatting>
  <conditionalFormatting sqref="Q95">
    <cfRule type="expression" dxfId="1679" priority="1842">
      <formula>T95=1</formula>
    </cfRule>
    <cfRule type="expression" dxfId="1678" priority="1843">
      <formula>S95=1</formula>
    </cfRule>
  </conditionalFormatting>
  <conditionalFormatting sqref="V95">
    <cfRule type="expression" dxfId="1677" priority="1840">
      <formula>Y95=1</formula>
    </cfRule>
    <cfRule type="expression" dxfId="1676" priority="1841">
      <formula>X95=1</formula>
    </cfRule>
  </conditionalFormatting>
  <conditionalFormatting sqref="AA95">
    <cfRule type="expression" dxfId="1675" priority="1838">
      <formula>AD95=1</formula>
    </cfRule>
    <cfRule type="expression" dxfId="1674" priority="1839">
      <formula>AC95=1</formula>
    </cfRule>
  </conditionalFormatting>
  <conditionalFormatting sqref="AF95">
    <cfRule type="expression" dxfId="1673" priority="1836">
      <formula>AI95=1</formula>
    </cfRule>
    <cfRule type="expression" dxfId="1672" priority="1837">
      <formula>AH95=1</formula>
    </cfRule>
  </conditionalFormatting>
  <conditionalFormatting sqref="AF96">
    <cfRule type="expression" dxfId="1671" priority="1834">
      <formula>AI96=1</formula>
    </cfRule>
    <cfRule type="expression" dxfId="1670" priority="1835">
      <formula>AH96=1</formula>
    </cfRule>
  </conditionalFormatting>
  <conditionalFormatting sqref="AA96">
    <cfRule type="expression" dxfId="1669" priority="1832">
      <formula>AD96=1</formula>
    </cfRule>
    <cfRule type="expression" dxfId="1668" priority="1833">
      <formula>AC96=1</formula>
    </cfRule>
  </conditionalFormatting>
  <conditionalFormatting sqref="V96">
    <cfRule type="expression" dxfId="1667" priority="1830">
      <formula>Y96=1</formula>
    </cfRule>
    <cfRule type="expression" dxfId="1666" priority="1831">
      <formula>X96=1</formula>
    </cfRule>
  </conditionalFormatting>
  <conditionalFormatting sqref="Q96">
    <cfRule type="expression" dxfId="1665" priority="1828">
      <formula>T96=1</formula>
    </cfRule>
    <cfRule type="expression" dxfId="1664" priority="1829">
      <formula>S96=1</formula>
    </cfRule>
  </conditionalFormatting>
  <conditionalFormatting sqref="Q97">
    <cfRule type="expression" dxfId="1663" priority="1826">
      <formula>T97=1</formula>
    </cfRule>
    <cfRule type="expression" dxfId="1662" priority="1827">
      <formula>S97=1</formula>
    </cfRule>
  </conditionalFormatting>
  <conditionalFormatting sqref="V97">
    <cfRule type="expression" dxfId="1661" priority="1824">
      <formula>Y97=1</formula>
    </cfRule>
    <cfRule type="expression" dxfId="1660" priority="1825">
      <formula>X97=1</formula>
    </cfRule>
  </conditionalFormatting>
  <conditionalFormatting sqref="AA97">
    <cfRule type="expression" dxfId="1659" priority="1822">
      <formula>AD97=1</formula>
    </cfRule>
    <cfRule type="expression" dxfId="1658" priority="1823">
      <formula>AC97=1</formula>
    </cfRule>
  </conditionalFormatting>
  <conditionalFormatting sqref="AF97">
    <cfRule type="expression" dxfId="1657" priority="1820">
      <formula>AI97=1</formula>
    </cfRule>
    <cfRule type="expression" dxfId="1656" priority="1821">
      <formula>AH97=1</formula>
    </cfRule>
  </conditionalFormatting>
  <conditionalFormatting sqref="AF98">
    <cfRule type="expression" dxfId="1655" priority="1818">
      <formula>AI98=1</formula>
    </cfRule>
    <cfRule type="expression" dxfId="1654" priority="1819">
      <formula>AH98=1</formula>
    </cfRule>
  </conditionalFormatting>
  <conditionalFormatting sqref="AA98">
    <cfRule type="expression" dxfId="1653" priority="1816">
      <formula>AD98=1</formula>
    </cfRule>
    <cfRule type="expression" dxfId="1652" priority="1817">
      <formula>AC98=1</formula>
    </cfRule>
  </conditionalFormatting>
  <conditionalFormatting sqref="V98">
    <cfRule type="expression" dxfId="1651" priority="1814">
      <formula>Y98=1</formula>
    </cfRule>
    <cfRule type="expression" dxfId="1650" priority="1815">
      <formula>X98=1</formula>
    </cfRule>
  </conditionalFormatting>
  <conditionalFormatting sqref="Q98">
    <cfRule type="expression" dxfId="1649" priority="1812">
      <formula>T98=1</formula>
    </cfRule>
    <cfRule type="expression" dxfId="1648" priority="1813">
      <formula>S98=1</formula>
    </cfRule>
  </conditionalFormatting>
  <conditionalFormatting sqref="Q99">
    <cfRule type="expression" dxfId="1647" priority="1810">
      <formula>T99=1</formula>
    </cfRule>
    <cfRule type="expression" dxfId="1646" priority="1811">
      <formula>S99=1</formula>
    </cfRule>
  </conditionalFormatting>
  <conditionalFormatting sqref="Q100">
    <cfRule type="expression" dxfId="1645" priority="1808">
      <formula>T100=1</formula>
    </cfRule>
    <cfRule type="expression" dxfId="1644" priority="1809">
      <formula>S100=1</formula>
    </cfRule>
  </conditionalFormatting>
  <conditionalFormatting sqref="V99">
    <cfRule type="expression" dxfId="1643" priority="1806">
      <formula>Y99=1</formula>
    </cfRule>
    <cfRule type="expression" dxfId="1642" priority="1807">
      <formula>X99=1</formula>
    </cfRule>
  </conditionalFormatting>
  <conditionalFormatting sqref="V100">
    <cfRule type="expression" dxfId="1641" priority="1804">
      <formula>Y100=1</formula>
    </cfRule>
    <cfRule type="expression" dxfId="1640" priority="1805">
      <formula>X100=1</formula>
    </cfRule>
  </conditionalFormatting>
  <conditionalFormatting sqref="AA99">
    <cfRule type="expression" dxfId="1639" priority="1802">
      <formula>AD99=1</formula>
    </cfRule>
    <cfRule type="expression" dxfId="1638" priority="1803">
      <formula>AC99=1</formula>
    </cfRule>
  </conditionalFormatting>
  <conditionalFormatting sqref="AA100">
    <cfRule type="expression" dxfId="1637" priority="1800">
      <formula>AD100=1</formula>
    </cfRule>
    <cfRule type="expression" dxfId="1636" priority="1801">
      <formula>AC100=1</formula>
    </cfRule>
  </conditionalFormatting>
  <conditionalFormatting sqref="AF99">
    <cfRule type="expression" dxfId="1635" priority="1798">
      <formula>AI99=1</formula>
    </cfRule>
    <cfRule type="expression" dxfId="1634" priority="1799">
      <formula>AH99=1</formula>
    </cfRule>
  </conditionalFormatting>
  <conditionalFormatting sqref="AF100">
    <cfRule type="expression" dxfId="1633" priority="1796">
      <formula>AI100=1</formula>
    </cfRule>
    <cfRule type="expression" dxfId="1632" priority="1797">
      <formula>AH100=1</formula>
    </cfRule>
  </conditionalFormatting>
  <conditionalFormatting sqref="H104">
    <cfRule type="expression" dxfId="1631" priority="1653">
      <formula>J104=1</formula>
    </cfRule>
  </conditionalFormatting>
  <conditionalFormatting sqref="H105">
    <cfRule type="expression" dxfId="1630" priority="1652">
      <formula>J105=1</formula>
    </cfRule>
  </conditionalFormatting>
  <conditionalFormatting sqref="H106">
    <cfRule type="expression" dxfId="1629" priority="1651">
      <formula>J106=1</formula>
    </cfRule>
  </conditionalFormatting>
  <conditionalFormatting sqref="H107">
    <cfRule type="expression" dxfId="1628" priority="1650">
      <formula>J107=1</formula>
    </cfRule>
  </conditionalFormatting>
  <conditionalFormatting sqref="H109">
    <cfRule type="expression" dxfId="1627" priority="1649">
      <formula>J109=1</formula>
    </cfRule>
  </conditionalFormatting>
  <conditionalFormatting sqref="H110">
    <cfRule type="expression" dxfId="1626" priority="1648">
      <formula>J110=1</formula>
    </cfRule>
  </conditionalFormatting>
  <conditionalFormatting sqref="H111">
    <cfRule type="expression" dxfId="1625" priority="1647">
      <formula>J111=1</formula>
    </cfRule>
  </conditionalFormatting>
  <conditionalFormatting sqref="H112">
    <cfRule type="expression" dxfId="1624" priority="1646">
      <formula>J112=1</formula>
    </cfRule>
  </conditionalFormatting>
  <conditionalFormatting sqref="H114">
    <cfRule type="expression" dxfId="1623" priority="1645">
      <formula>J114=1</formula>
    </cfRule>
  </conditionalFormatting>
  <conditionalFormatting sqref="H115">
    <cfRule type="expression" dxfId="1622" priority="1644">
      <formula>J115=1</formula>
    </cfRule>
  </conditionalFormatting>
  <conditionalFormatting sqref="H116">
    <cfRule type="expression" dxfId="1621" priority="1643">
      <formula>J116=1</formula>
    </cfRule>
  </conditionalFormatting>
  <conditionalFormatting sqref="H117">
    <cfRule type="expression" dxfId="1620" priority="1642">
      <formula>J117=1</formula>
    </cfRule>
  </conditionalFormatting>
  <conditionalFormatting sqref="H120">
    <cfRule type="expression" dxfId="1619" priority="1641">
      <formula>J120=1</formula>
    </cfRule>
  </conditionalFormatting>
  <conditionalFormatting sqref="H121">
    <cfRule type="expression" dxfId="1618" priority="1640">
      <formula>J121=1</formula>
    </cfRule>
  </conditionalFormatting>
  <conditionalFormatting sqref="H122">
    <cfRule type="expression" dxfId="1617" priority="1639">
      <formula>J122=1</formula>
    </cfRule>
  </conditionalFormatting>
  <conditionalFormatting sqref="H125">
    <cfRule type="expression" dxfId="1616" priority="1638">
      <formula>J125=1</formula>
    </cfRule>
  </conditionalFormatting>
  <conditionalFormatting sqref="H126">
    <cfRule type="expression" dxfId="1615" priority="1637">
      <formula>J126=1</formula>
    </cfRule>
  </conditionalFormatting>
  <conditionalFormatting sqref="H127">
    <cfRule type="expression" dxfId="1614" priority="1636">
      <formula>J127=1</formula>
    </cfRule>
  </conditionalFormatting>
  <conditionalFormatting sqref="H130">
    <cfRule type="expression" dxfId="1613" priority="1635">
      <formula>J130=1</formula>
    </cfRule>
  </conditionalFormatting>
  <conditionalFormatting sqref="H131">
    <cfRule type="expression" dxfId="1612" priority="1634">
      <formula>J131=1</formula>
    </cfRule>
  </conditionalFormatting>
  <conditionalFormatting sqref="H132">
    <cfRule type="expression" dxfId="1611" priority="1633">
      <formula>J132=1</formula>
    </cfRule>
  </conditionalFormatting>
  <conditionalFormatting sqref="H135">
    <cfRule type="expression" dxfId="1610" priority="1632">
      <formula>J135=1</formula>
    </cfRule>
  </conditionalFormatting>
  <conditionalFormatting sqref="H136">
    <cfRule type="expression" dxfId="1609" priority="1631">
      <formula>J136=1</formula>
    </cfRule>
  </conditionalFormatting>
  <conditionalFormatting sqref="H137">
    <cfRule type="expression" dxfId="1608" priority="1630">
      <formula>J137=1</formula>
    </cfRule>
  </conditionalFormatting>
  <conditionalFormatting sqref="H140">
    <cfRule type="expression" dxfId="1607" priority="1629">
      <formula>J140=1</formula>
    </cfRule>
  </conditionalFormatting>
  <conditionalFormatting sqref="H141">
    <cfRule type="expression" dxfId="1606" priority="1628">
      <formula>J141=1</formula>
    </cfRule>
  </conditionalFormatting>
  <conditionalFormatting sqref="H142">
    <cfRule type="expression" dxfId="1605" priority="1627">
      <formula>J142=1</formula>
    </cfRule>
  </conditionalFormatting>
  <conditionalFormatting sqref="H145">
    <cfRule type="expression" dxfId="1604" priority="1626">
      <formula>J145=1</formula>
    </cfRule>
  </conditionalFormatting>
  <conditionalFormatting sqref="H146">
    <cfRule type="expression" dxfId="1603" priority="1625">
      <formula>J146=1</formula>
    </cfRule>
  </conditionalFormatting>
  <conditionalFormatting sqref="H147">
    <cfRule type="expression" dxfId="1602" priority="1624">
      <formula>J147=1</formula>
    </cfRule>
  </conditionalFormatting>
  <conditionalFormatting sqref="H150">
    <cfRule type="expression" dxfId="1601" priority="1623">
      <formula>J150=1</formula>
    </cfRule>
  </conditionalFormatting>
  <conditionalFormatting sqref="H151">
    <cfRule type="expression" dxfId="1600" priority="1622">
      <formula>J151=1</formula>
    </cfRule>
  </conditionalFormatting>
  <conditionalFormatting sqref="H152">
    <cfRule type="expression" dxfId="1599" priority="1621">
      <formula>J152=1</formula>
    </cfRule>
  </conditionalFormatting>
  <conditionalFormatting sqref="H155">
    <cfRule type="expression" dxfId="1598" priority="1620">
      <formula>J155=1</formula>
    </cfRule>
  </conditionalFormatting>
  <conditionalFormatting sqref="H156">
    <cfRule type="expression" dxfId="1597" priority="1619">
      <formula>J156=1</formula>
    </cfRule>
  </conditionalFormatting>
  <conditionalFormatting sqref="H157">
    <cfRule type="expression" dxfId="1596" priority="1618">
      <formula>J157=1</formula>
    </cfRule>
  </conditionalFormatting>
  <conditionalFormatting sqref="H160">
    <cfRule type="expression" dxfId="1595" priority="1617">
      <formula>J160=1</formula>
    </cfRule>
  </conditionalFormatting>
  <conditionalFormatting sqref="H161">
    <cfRule type="expression" dxfId="1594" priority="1616">
      <formula>J161=1</formula>
    </cfRule>
  </conditionalFormatting>
  <conditionalFormatting sqref="H162">
    <cfRule type="expression" dxfId="1593" priority="1615">
      <formula>J162=1</formula>
    </cfRule>
  </conditionalFormatting>
  <conditionalFormatting sqref="H119">
    <cfRule type="expression" dxfId="1592" priority="1613">
      <formula>K119=1</formula>
    </cfRule>
    <cfRule type="expression" dxfId="1591" priority="1614">
      <formula>J119=1</formula>
    </cfRule>
  </conditionalFormatting>
  <conditionalFormatting sqref="H124">
    <cfRule type="expression" dxfId="1590" priority="1611">
      <formula>K124=1</formula>
    </cfRule>
    <cfRule type="expression" dxfId="1589" priority="1612">
      <formula>J124=1</formula>
    </cfRule>
  </conditionalFormatting>
  <conditionalFormatting sqref="H129">
    <cfRule type="expression" dxfId="1588" priority="1609">
      <formula>K129=1</formula>
    </cfRule>
    <cfRule type="expression" dxfId="1587" priority="1610">
      <formula>J129=1</formula>
    </cfRule>
  </conditionalFormatting>
  <conditionalFormatting sqref="H134">
    <cfRule type="expression" dxfId="1586" priority="1607">
      <formula>K134=1</formula>
    </cfRule>
    <cfRule type="expression" dxfId="1585" priority="1608">
      <formula>J134=1</formula>
    </cfRule>
  </conditionalFormatting>
  <conditionalFormatting sqref="H139">
    <cfRule type="expression" dxfId="1584" priority="1605">
      <formula>K139=1</formula>
    </cfRule>
    <cfRule type="expression" dxfId="1583" priority="1606">
      <formula>J139=1</formula>
    </cfRule>
  </conditionalFormatting>
  <conditionalFormatting sqref="H144">
    <cfRule type="expression" dxfId="1582" priority="1603">
      <formula>K144=1</formula>
    </cfRule>
    <cfRule type="expression" dxfId="1581" priority="1604">
      <formula>J144=1</formula>
    </cfRule>
  </conditionalFormatting>
  <conditionalFormatting sqref="H149">
    <cfRule type="expression" dxfId="1580" priority="1601">
      <formula>K149=1</formula>
    </cfRule>
    <cfRule type="expression" dxfId="1579" priority="1602">
      <formula>J149=1</formula>
    </cfRule>
  </conditionalFormatting>
  <conditionalFormatting sqref="H154">
    <cfRule type="expression" dxfId="1578" priority="1599">
      <formula>K154=1</formula>
    </cfRule>
    <cfRule type="expression" dxfId="1577" priority="1600">
      <formula>J154=1</formula>
    </cfRule>
  </conditionalFormatting>
  <conditionalFormatting sqref="H159">
    <cfRule type="expression" dxfId="1576" priority="1597">
      <formula>K159=1</formula>
    </cfRule>
    <cfRule type="expression" dxfId="1575" priority="1598">
      <formula>J159=1</formula>
    </cfRule>
  </conditionalFormatting>
  <conditionalFormatting sqref="H183">
    <cfRule type="expression" dxfId="1574" priority="1403">
      <formula>K183=1</formula>
    </cfRule>
    <cfRule type="expression" dxfId="1573" priority="1404">
      <formula>J183=1</formula>
    </cfRule>
  </conditionalFormatting>
  <conditionalFormatting sqref="H184">
    <cfRule type="expression" dxfId="1572" priority="1401">
      <formula>K184=1</formula>
    </cfRule>
    <cfRule type="expression" dxfId="1571" priority="1402">
      <formula>J184=1</formula>
    </cfRule>
  </conditionalFormatting>
  <conditionalFormatting sqref="H185">
    <cfRule type="expression" dxfId="1570" priority="1399">
      <formula>K185=1</formula>
    </cfRule>
    <cfRule type="expression" dxfId="1569" priority="1400">
      <formula>J185=1</formula>
    </cfRule>
  </conditionalFormatting>
  <conditionalFormatting sqref="H186">
    <cfRule type="expression" dxfId="1568" priority="1397">
      <formula>K186=1</formula>
    </cfRule>
    <cfRule type="expression" dxfId="1567" priority="1398">
      <formula>J186=1</formula>
    </cfRule>
  </conditionalFormatting>
  <conditionalFormatting sqref="H166">
    <cfRule type="expression" dxfId="1566" priority="1396">
      <formula>J166=1</formula>
    </cfRule>
  </conditionalFormatting>
  <conditionalFormatting sqref="H167">
    <cfRule type="expression" dxfId="1565" priority="1395">
      <formula>J167=1</formula>
    </cfRule>
  </conditionalFormatting>
  <conditionalFormatting sqref="H168">
    <cfRule type="expression" dxfId="1564" priority="1394">
      <formula>J168=1</formula>
    </cfRule>
  </conditionalFormatting>
  <conditionalFormatting sqref="H169">
    <cfRule type="expression" dxfId="1563" priority="1393">
      <formula>J169=1</formula>
    </cfRule>
  </conditionalFormatting>
  <conditionalFormatting sqref="H171">
    <cfRule type="expression" dxfId="1562" priority="1392">
      <formula>J171=1</formula>
    </cfRule>
  </conditionalFormatting>
  <conditionalFormatting sqref="H172">
    <cfRule type="expression" dxfId="1561" priority="1391">
      <formula>J172=1</formula>
    </cfRule>
  </conditionalFormatting>
  <conditionalFormatting sqref="H173">
    <cfRule type="expression" dxfId="1560" priority="1390">
      <formula>J173=1</formula>
    </cfRule>
  </conditionalFormatting>
  <conditionalFormatting sqref="H174">
    <cfRule type="expression" dxfId="1559" priority="1389">
      <formula>J174=1</formula>
    </cfRule>
  </conditionalFormatting>
  <conditionalFormatting sqref="H175">
    <cfRule type="expression" dxfId="1558" priority="1388">
      <formula>J175=1</formula>
    </cfRule>
  </conditionalFormatting>
  <conditionalFormatting sqref="H176">
    <cfRule type="expression" dxfId="1557" priority="1387">
      <formula>J176=1</formula>
    </cfRule>
  </conditionalFormatting>
  <conditionalFormatting sqref="H178">
    <cfRule type="expression" dxfId="1556" priority="1386">
      <formula>J178=1</formula>
    </cfRule>
  </conditionalFormatting>
  <conditionalFormatting sqref="H177">
    <cfRule type="expression" dxfId="1555" priority="1385">
      <formula>J177=1</formula>
    </cfRule>
  </conditionalFormatting>
  <conditionalFormatting sqref="H179">
    <cfRule type="expression" dxfId="1554" priority="19">
      <formula>K179=1</formula>
    </cfRule>
    <cfRule type="expression" dxfId="1553" priority="1384">
      <formula>J179=1</formula>
    </cfRule>
  </conditionalFormatting>
  <conditionalFormatting sqref="H180">
    <cfRule type="expression" dxfId="1552" priority="1383">
      <formula>J180=1</formula>
    </cfRule>
  </conditionalFormatting>
  <conditionalFormatting sqref="H182">
    <cfRule type="expression" dxfId="1551" priority="1382">
      <formula>J182=1</formula>
    </cfRule>
  </conditionalFormatting>
  <conditionalFormatting sqref="H187">
    <cfRule type="expression" dxfId="1550" priority="1381">
      <formula>J187=1</formula>
    </cfRule>
  </conditionalFormatting>
  <conditionalFormatting sqref="H188">
    <cfRule type="expression" dxfId="1549" priority="1380">
      <formula>J188=1</formula>
    </cfRule>
  </conditionalFormatting>
  <conditionalFormatting sqref="H189">
    <cfRule type="expression" dxfId="1548" priority="1379">
      <formula>J189=1</formula>
    </cfRule>
  </conditionalFormatting>
  <conditionalFormatting sqref="H190">
    <cfRule type="expression" dxfId="1547" priority="1378">
      <formula>J190=1</formula>
    </cfRule>
  </conditionalFormatting>
  <conditionalFormatting sqref="L104">
    <cfRule type="expression" dxfId="1546" priority="1376">
      <formula>O104=1</formula>
    </cfRule>
    <cfRule type="expression" dxfId="1545" priority="1377">
      <formula>N104=1</formula>
    </cfRule>
  </conditionalFormatting>
  <conditionalFormatting sqref="L105">
    <cfRule type="expression" dxfId="1544" priority="1372">
      <formula>O105=1</formula>
    </cfRule>
    <cfRule type="expression" dxfId="1543" priority="1373">
      <formula>N105=1</formula>
    </cfRule>
  </conditionalFormatting>
  <conditionalFormatting sqref="L106">
    <cfRule type="expression" dxfId="1542" priority="1368">
      <formula>O106=1</formula>
    </cfRule>
    <cfRule type="expression" dxfId="1541" priority="1369">
      <formula>N106=1</formula>
    </cfRule>
  </conditionalFormatting>
  <conditionalFormatting sqref="L107">
    <cfRule type="expression" dxfId="1540" priority="1364">
      <formula>O107=1</formula>
    </cfRule>
    <cfRule type="expression" dxfId="1539" priority="1365">
      <formula>N107=1</formula>
    </cfRule>
  </conditionalFormatting>
  <conditionalFormatting sqref="Q104">
    <cfRule type="expression" dxfId="1538" priority="1360">
      <formula>T104=1</formula>
    </cfRule>
    <cfRule type="expression" dxfId="1537" priority="1361">
      <formula>S104=1</formula>
    </cfRule>
  </conditionalFormatting>
  <conditionalFormatting sqref="Q105">
    <cfRule type="expression" dxfId="1536" priority="1356">
      <formula>T105=1</formula>
    </cfRule>
    <cfRule type="expression" dxfId="1535" priority="1357">
      <formula>S105=1</formula>
    </cfRule>
  </conditionalFormatting>
  <conditionalFormatting sqref="Q106">
    <cfRule type="expression" dxfId="1534" priority="1352">
      <formula>T106=1</formula>
    </cfRule>
    <cfRule type="expression" dxfId="1533" priority="1353">
      <formula>S106=1</formula>
    </cfRule>
  </conditionalFormatting>
  <conditionalFormatting sqref="Q107">
    <cfRule type="expression" dxfId="1532" priority="1348">
      <formula>T107=1</formula>
    </cfRule>
    <cfRule type="expression" dxfId="1531" priority="1349">
      <formula>S107=1</formula>
    </cfRule>
  </conditionalFormatting>
  <conditionalFormatting sqref="V104">
    <cfRule type="expression" dxfId="1530" priority="1344">
      <formula>Y104=1</formula>
    </cfRule>
    <cfRule type="expression" dxfId="1529" priority="1345">
      <formula>X104=1</formula>
    </cfRule>
  </conditionalFormatting>
  <conditionalFormatting sqref="V105">
    <cfRule type="expression" dxfId="1528" priority="1340">
      <formula>Y105=1</formula>
    </cfRule>
    <cfRule type="expression" dxfId="1527" priority="1341">
      <formula>X105=1</formula>
    </cfRule>
  </conditionalFormatting>
  <conditionalFormatting sqref="V106">
    <cfRule type="expression" dxfId="1526" priority="1336">
      <formula>Y106=1</formula>
    </cfRule>
    <cfRule type="expression" dxfId="1525" priority="1337">
      <formula>X106=1</formula>
    </cfRule>
  </conditionalFormatting>
  <conditionalFormatting sqref="V107">
    <cfRule type="expression" dxfId="1524" priority="1332">
      <formula>Y107=1</formula>
    </cfRule>
    <cfRule type="expression" dxfId="1523" priority="1333">
      <formula>X107=1</formula>
    </cfRule>
  </conditionalFormatting>
  <conditionalFormatting sqref="AA104">
    <cfRule type="expression" dxfId="1522" priority="1328">
      <formula>AD104=1</formula>
    </cfRule>
    <cfRule type="expression" dxfId="1521" priority="1329">
      <formula>AC104=1</formula>
    </cfRule>
  </conditionalFormatting>
  <conditionalFormatting sqref="AA105">
    <cfRule type="expression" dxfId="1520" priority="1324">
      <formula>AD105=1</formula>
    </cfRule>
    <cfRule type="expression" dxfId="1519" priority="1325">
      <formula>AC105=1</formula>
    </cfRule>
  </conditionalFormatting>
  <conditionalFormatting sqref="AA106">
    <cfRule type="expression" dxfId="1518" priority="1320">
      <formula>AD106=1</formula>
    </cfRule>
    <cfRule type="expression" dxfId="1517" priority="1321">
      <formula>AC106=1</formula>
    </cfRule>
  </conditionalFormatting>
  <conditionalFormatting sqref="AA107">
    <cfRule type="expression" dxfId="1516" priority="1316">
      <formula>AD107=1</formula>
    </cfRule>
    <cfRule type="expression" dxfId="1515" priority="1317">
      <formula>AC107=1</formula>
    </cfRule>
  </conditionalFormatting>
  <conditionalFormatting sqref="AF104">
    <cfRule type="expression" dxfId="1514" priority="1312">
      <formula>AI104=1</formula>
    </cfRule>
    <cfRule type="expression" dxfId="1513" priority="1313">
      <formula>AH104=1</formula>
    </cfRule>
  </conditionalFormatting>
  <conditionalFormatting sqref="AF105">
    <cfRule type="expression" dxfId="1512" priority="1308">
      <formula>AI105=1</formula>
    </cfRule>
    <cfRule type="expression" dxfId="1511" priority="1309">
      <formula>AH105=1</formula>
    </cfRule>
  </conditionalFormatting>
  <conditionalFormatting sqref="AF106">
    <cfRule type="expression" dxfId="1510" priority="1304">
      <formula>AI106=1</formula>
    </cfRule>
    <cfRule type="expression" dxfId="1509" priority="1305">
      <formula>AH106=1</formula>
    </cfRule>
  </conditionalFormatting>
  <conditionalFormatting sqref="AF107">
    <cfRule type="expression" dxfId="1508" priority="1300">
      <formula>AI107=1</formula>
    </cfRule>
    <cfRule type="expression" dxfId="1507" priority="1301">
      <formula>AH107=1</formula>
    </cfRule>
  </conditionalFormatting>
  <conditionalFormatting sqref="L109">
    <cfRule type="expression" dxfId="1506" priority="1280">
      <formula>O109=1</formula>
    </cfRule>
    <cfRule type="expression" dxfId="1505" priority="1281">
      <formula>N109=1</formula>
    </cfRule>
  </conditionalFormatting>
  <conditionalFormatting sqref="L110">
    <cfRule type="expression" dxfId="1504" priority="1278">
      <formula>O110=1</formula>
    </cfRule>
    <cfRule type="expression" dxfId="1503" priority="1279">
      <formula>N110=1</formula>
    </cfRule>
  </conditionalFormatting>
  <conditionalFormatting sqref="L111">
    <cfRule type="expression" dxfId="1502" priority="1276">
      <formula>O111=1</formula>
    </cfRule>
    <cfRule type="expression" dxfId="1501" priority="1277">
      <formula>N111=1</formula>
    </cfRule>
  </conditionalFormatting>
  <conditionalFormatting sqref="L112">
    <cfRule type="expression" dxfId="1500" priority="1274">
      <formula>O112=1</formula>
    </cfRule>
    <cfRule type="expression" dxfId="1499" priority="1275">
      <formula>N112=1</formula>
    </cfRule>
  </conditionalFormatting>
  <conditionalFormatting sqref="Q109">
    <cfRule type="expression" dxfId="1498" priority="1272">
      <formula>T109=1</formula>
    </cfRule>
    <cfRule type="expression" dxfId="1497" priority="1273">
      <formula>S109=1</formula>
    </cfRule>
  </conditionalFormatting>
  <conditionalFormatting sqref="Q111">
    <cfRule type="expression" dxfId="1496" priority="1270">
      <formula>T111=1</formula>
    </cfRule>
    <cfRule type="expression" dxfId="1495" priority="1271">
      <formula>S111=1</formula>
    </cfRule>
  </conditionalFormatting>
  <conditionalFormatting sqref="Q110">
    <cfRule type="expression" dxfId="1494" priority="1268">
      <formula>T110=1</formula>
    </cfRule>
    <cfRule type="expression" dxfId="1493" priority="1269">
      <formula>S110=1</formula>
    </cfRule>
  </conditionalFormatting>
  <conditionalFormatting sqref="Q112">
    <cfRule type="expression" dxfId="1492" priority="1266">
      <formula>T112=1</formula>
    </cfRule>
    <cfRule type="expression" dxfId="1491" priority="1267">
      <formula>S112=1</formula>
    </cfRule>
  </conditionalFormatting>
  <conditionalFormatting sqref="V109">
    <cfRule type="expression" dxfId="1490" priority="1264">
      <formula>Y109=1</formula>
    </cfRule>
    <cfRule type="expression" dxfId="1489" priority="1265">
      <formula>X109=1</formula>
    </cfRule>
  </conditionalFormatting>
  <conditionalFormatting sqref="V110">
    <cfRule type="expression" dxfId="1488" priority="1262">
      <formula>Y110=1</formula>
    </cfRule>
    <cfRule type="expression" dxfId="1487" priority="1263">
      <formula>X110=1</formula>
    </cfRule>
  </conditionalFormatting>
  <conditionalFormatting sqref="V111">
    <cfRule type="expression" dxfId="1486" priority="1260">
      <formula>Y111=1</formula>
    </cfRule>
    <cfRule type="expression" dxfId="1485" priority="1261">
      <formula>X111=1</formula>
    </cfRule>
  </conditionalFormatting>
  <conditionalFormatting sqref="V112">
    <cfRule type="expression" dxfId="1484" priority="1258">
      <formula>Y112=1</formula>
    </cfRule>
    <cfRule type="expression" dxfId="1483" priority="1259">
      <formula>X112=1</formula>
    </cfRule>
  </conditionalFormatting>
  <conditionalFormatting sqref="AA109">
    <cfRule type="expression" dxfId="1482" priority="1256">
      <formula>AD109=1</formula>
    </cfRule>
    <cfRule type="expression" dxfId="1481" priority="1257">
      <formula>AC109=1</formula>
    </cfRule>
  </conditionalFormatting>
  <conditionalFormatting sqref="AA110">
    <cfRule type="expression" dxfId="1480" priority="1254">
      <formula>AD110=1</formula>
    </cfRule>
    <cfRule type="expression" dxfId="1479" priority="1255">
      <formula>AC110=1</formula>
    </cfRule>
  </conditionalFormatting>
  <conditionalFormatting sqref="AA111">
    <cfRule type="expression" dxfId="1478" priority="1252">
      <formula>AD111=1</formula>
    </cfRule>
    <cfRule type="expression" dxfId="1477" priority="1253">
      <formula>AC111=1</formula>
    </cfRule>
  </conditionalFormatting>
  <conditionalFormatting sqref="AA112">
    <cfRule type="expression" dxfId="1476" priority="1250">
      <formula>AD112=1</formula>
    </cfRule>
    <cfRule type="expression" dxfId="1475" priority="1251">
      <formula>AC112=1</formula>
    </cfRule>
  </conditionalFormatting>
  <conditionalFormatting sqref="AF109">
    <cfRule type="expression" dxfId="1474" priority="1248">
      <formula>AI109=1</formula>
    </cfRule>
    <cfRule type="expression" dxfId="1473" priority="1249">
      <formula>AH109=1</formula>
    </cfRule>
  </conditionalFormatting>
  <conditionalFormatting sqref="AF110">
    <cfRule type="expression" dxfId="1472" priority="1246">
      <formula>AI110=1</formula>
    </cfRule>
    <cfRule type="expression" dxfId="1471" priority="1247">
      <formula>AH110=1</formula>
    </cfRule>
  </conditionalFormatting>
  <conditionalFormatting sqref="AF111">
    <cfRule type="expression" dxfId="1470" priority="1244">
      <formula>AI111=1</formula>
    </cfRule>
    <cfRule type="expression" dxfId="1469" priority="1245">
      <formula>AH111=1</formula>
    </cfRule>
  </conditionalFormatting>
  <conditionalFormatting sqref="AF112">
    <cfRule type="expression" dxfId="1468" priority="1242">
      <formula>AI112=1</formula>
    </cfRule>
    <cfRule type="expression" dxfId="1467" priority="1243">
      <formula>AH112=1</formula>
    </cfRule>
  </conditionalFormatting>
  <conditionalFormatting sqref="L114">
    <cfRule type="expression" dxfId="1466" priority="1240">
      <formula>O114=1</formula>
    </cfRule>
    <cfRule type="expression" dxfId="1465" priority="1241">
      <formula>N114=1</formula>
    </cfRule>
  </conditionalFormatting>
  <conditionalFormatting sqref="L115">
    <cfRule type="expression" dxfId="1464" priority="1238">
      <formula>O115=1</formula>
    </cfRule>
    <cfRule type="expression" dxfId="1463" priority="1239">
      <formula>N115=1</formula>
    </cfRule>
  </conditionalFormatting>
  <conditionalFormatting sqref="L116">
    <cfRule type="expression" dxfId="1462" priority="1236">
      <formula>O116=1</formula>
    </cfRule>
    <cfRule type="expression" dxfId="1461" priority="1237">
      <formula>N116=1</formula>
    </cfRule>
  </conditionalFormatting>
  <conditionalFormatting sqref="L117">
    <cfRule type="expression" dxfId="1460" priority="1234">
      <formula>O117=1</formula>
    </cfRule>
    <cfRule type="expression" dxfId="1459" priority="1235">
      <formula>N117=1</formula>
    </cfRule>
  </conditionalFormatting>
  <conditionalFormatting sqref="Q114">
    <cfRule type="expression" dxfId="1458" priority="1232">
      <formula>T114=1</formula>
    </cfRule>
    <cfRule type="expression" dxfId="1457" priority="1233">
      <formula>S114=1</formula>
    </cfRule>
  </conditionalFormatting>
  <conditionalFormatting sqref="Q115">
    <cfRule type="expression" dxfId="1456" priority="1230">
      <formula>T115=1</formula>
    </cfRule>
    <cfRule type="expression" dxfId="1455" priority="1231">
      <formula>S115=1</formula>
    </cfRule>
  </conditionalFormatting>
  <conditionalFormatting sqref="Q116">
    <cfRule type="expression" dxfId="1454" priority="1228">
      <formula>T116=1</formula>
    </cfRule>
    <cfRule type="expression" dxfId="1453" priority="1229">
      <formula>S116=1</formula>
    </cfRule>
  </conditionalFormatting>
  <conditionalFormatting sqref="Q117">
    <cfRule type="expression" dxfId="1452" priority="1226">
      <formula>T117=1</formula>
    </cfRule>
    <cfRule type="expression" dxfId="1451" priority="1227">
      <formula>S117=1</formula>
    </cfRule>
  </conditionalFormatting>
  <conditionalFormatting sqref="V114">
    <cfRule type="expression" dxfId="1450" priority="1224">
      <formula>Y114=1</formula>
    </cfRule>
    <cfRule type="expression" dxfId="1449" priority="1225">
      <formula>X114=1</formula>
    </cfRule>
  </conditionalFormatting>
  <conditionalFormatting sqref="V115">
    <cfRule type="expression" dxfId="1448" priority="1222">
      <formula>Y115=1</formula>
    </cfRule>
    <cfRule type="expression" dxfId="1447" priority="1223">
      <formula>X115=1</formula>
    </cfRule>
  </conditionalFormatting>
  <conditionalFormatting sqref="V116">
    <cfRule type="expression" dxfId="1446" priority="1220">
      <formula>Y116=1</formula>
    </cfRule>
    <cfRule type="expression" dxfId="1445" priority="1221">
      <formula>X116=1</formula>
    </cfRule>
  </conditionalFormatting>
  <conditionalFormatting sqref="V117">
    <cfRule type="expression" dxfId="1444" priority="1218">
      <formula>Y117=1</formula>
    </cfRule>
    <cfRule type="expression" dxfId="1443" priority="1219">
      <formula>X117=1</formula>
    </cfRule>
  </conditionalFormatting>
  <conditionalFormatting sqref="AA114">
    <cfRule type="expression" dxfId="1442" priority="1216">
      <formula>AD114=1</formula>
    </cfRule>
    <cfRule type="expression" dxfId="1441" priority="1217">
      <formula>AC114=1</formula>
    </cfRule>
  </conditionalFormatting>
  <conditionalFormatting sqref="AA115">
    <cfRule type="expression" dxfId="1440" priority="1214">
      <formula>AD115=1</formula>
    </cfRule>
    <cfRule type="expression" dxfId="1439" priority="1215">
      <formula>AC115=1</formula>
    </cfRule>
  </conditionalFormatting>
  <conditionalFormatting sqref="AA116">
    <cfRule type="expression" dxfId="1438" priority="1212">
      <formula>AD116=1</formula>
    </cfRule>
    <cfRule type="expression" dxfId="1437" priority="1213">
      <formula>AC116=1</formula>
    </cfRule>
  </conditionalFormatting>
  <conditionalFormatting sqref="AA117">
    <cfRule type="expression" dxfId="1436" priority="1210">
      <formula>AD117=1</formula>
    </cfRule>
    <cfRule type="expression" dxfId="1435" priority="1211">
      <formula>AC117=1</formula>
    </cfRule>
  </conditionalFormatting>
  <conditionalFormatting sqref="AF114">
    <cfRule type="expression" dxfId="1434" priority="1208">
      <formula>AI114=1</formula>
    </cfRule>
    <cfRule type="expression" dxfId="1433" priority="1209">
      <formula>AH114=1</formula>
    </cfRule>
  </conditionalFormatting>
  <conditionalFormatting sqref="AF115">
    <cfRule type="expression" dxfId="1432" priority="1206">
      <formula>AI115=1</formula>
    </cfRule>
    <cfRule type="expression" dxfId="1431" priority="1207">
      <formula>AH115=1</formula>
    </cfRule>
  </conditionalFormatting>
  <conditionalFormatting sqref="AF116">
    <cfRule type="expression" dxfId="1430" priority="1204">
      <formula>AI116=1</formula>
    </cfRule>
    <cfRule type="expression" dxfId="1429" priority="1205">
      <formula>AH116=1</formula>
    </cfRule>
  </conditionalFormatting>
  <conditionalFormatting sqref="AF117">
    <cfRule type="expression" dxfId="1428" priority="1202">
      <formula>AI117=1</formula>
    </cfRule>
    <cfRule type="expression" dxfId="1427" priority="1203">
      <formula>AH117=1</formula>
    </cfRule>
  </conditionalFormatting>
  <conditionalFormatting sqref="L120">
    <cfRule type="expression" dxfId="1426" priority="1198">
      <formula>O120=1</formula>
    </cfRule>
    <cfRule type="expression" dxfId="1425" priority="1199">
      <formula>N120=1</formula>
    </cfRule>
  </conditionalFormatting>
  <conditionalFormatting sqref="L121">
    <cfRule type="expression" dxfId="1424" priority="1196">
      <formula>O121=1</formula>
    </cfRule>
    <cfRule type="expression" dxfId="1423" priority="1197">
      <formula>N121=1</formula>
    </cfRule>
  </conditionalFormatting>
  <conditionalFormatting sqref="L122">
    <cfRule type="expression" dxfId="1422" priority="1194">
      <formula>O122=1</formula>
    </cfRule>
    <cfRule type="expression" dxfId="1421" priority="1195">
      <formula>N122=1</formula>
    </cfRule>
  </conditionalFormatting>
  <conditionalFormatting sqref="Q120">
    <cfRule type="expression" dxfId="1420" priority="1190">
      <formula>T120=1</formula>
    </cfRule>
    <cfRule type="expression" dxfId="1419" priority="1191">
      <formula>S120=1</formula>
    </cfRule>
  </conditionalFormatting>
  <conditionalFormatting sqref="Q121">
    <cfRule type="expression" dxfId="1418" priority="1188">
      <formula>T121=1</formula>
    </cfRule>
    <cfRule type="expression" dxfId="1417" priority="1189">
      <formula>S121=1</formula>
    </cfRule>
  </conditionalFormatting>
  <conditionalFormatting sqref="Q122">
    <cfRule type="expression" dxfId="1416" priority="1186">
      <formula>T122=1</formula>
    </cfRule>
    <cfRule type="expression" dxfId="1415" priority="1187">
      <formula>S122=1</formula>
    </cfRule>
  </conditionalFormatting>
  <conditionalFormatting sqref="V120">
    <cfRule type="expression" dxfId="1414" priority="1182">
      <formula>Y120=1</formula>
    </cfRule>
    <cfRule type="expression" dxfId="1413" priority="1183">
      <formula>X120=1</formula>
    </cfRule>
  </conditionalFormatting>
  <conditionalFormatting sqref="V121">
    <cfRule type="expression" dxfId="1412" priority="1180">
      <formula>Y121=1</formula>
    </cfRule>
    <cfRule type="expression" dxfId="1411" priority="1181">
      <formula>X121=1</formula>
    </cfRule>
  </conditionalFormatting>
  <conditionalFormatting sqref="V122">
    <cfRule type="expression" dxfId="1410" priority="1178">
      <formula>Y122=1</formula>
    </cfRule>
    <cfRule type="expression" dxfId="1409" priority="1179">
      <formula>X122=1</formula>
    </cfRule>
  </conditionalFormatting>
  <conditionalFormatting sqref="AA120">
    <cfRule type="expression" dxfId="1408" priority="1174">
      <formula>AD120=1</formula>
    </cfRule>
    <cfRule type="expression" dxfId="1407" priority="1175">
      <formula>AC120=1</formula>
    </cfRule>
  </conditionalFormatting>
  <conditionalFormatting sqref="AA121">
    <cfRule type="expression" dxfId="1406" priority="1172">
      <formula>AD121=1</formula>
    </cfRule>
    <cfRule type="expression" dxfId="1405" priority="1173">
      <formula>AC121=1</formula>
    </cfRule>
  </conditionalFormatting>
  <conditionalFormatting sqref="AA122">
    <cfRule type="expression" dxfId="1404" priority="1170">
      <formula>AD122=1</formula>
    </cfRule>
    <cfRule type="expression" dxfId="1403" priority="1171">
      <formula>AC122=1</formula>
    </cfRule>
  </conditionalFormatting>
  <conditionalFormatting sqref="AF120">
    <cfRule type="expression" dxfId="1402" priority="1166">
      <formula>AI120=1</formula>
    </cfRule>
    <cfRule type="expression" dxfId="1401" priority="1167">
      <formula>AH120=1</formula>
    </cfRule>
  </conditionalFormatting>
  <conditionalFormatting sqref="AF121">
    <cfRule type="expression" dxfId="1400" priority="1164">
      <formula>AI121=1</formula>
    </cfRule>
    <cfRule type="expression" dxfId="1399" priority="1165">
      <formula>AH121=1</formula>
    </cfRule>
  </conditionalFormatting>
  <conditionalFormatting sqref="AF122">
    <cfRule type="expression" dxfId="1398" priority="1162">
      <formula>AI122=1</formula>
    </cfRule>
    <cfRule type="expression" dxfId="1397" priority="1163">
      <formula>AH122=1</formula>
    </cfRule>
  </conditionalFormatting>
  <conditionalFormatting sqref="L125">
    <cfRule type="expression" dxfId="1396" priority="1160">
      <formula>O125=1</formula>
    </cfRule>
    <cfRule type="expression" dxfId="1395" priority="1161">
      <formula>N125=1</formula>
    </cfRule>
  </conditionalFormatting>
  <conditionalFormatting sqref="L126">
    <cfRule type="expression" dxfId="1394" priority="1158">
      <formula>O126=1</formula>
    </cfRule>
    <cfRule type="expression" dxfId="1393" priority="1159">
      <formula>N126=1</formula>
    </cfRule>
  </conditionalFormatting>
  <conditionalFormatting sqref="L127">
    <cfRule type="expression" dxfId="1392" priority="1156">
      <formula>O127=1</formula>
    </cfRule>
    <cfRule type="expression" dxfId="1391" priority="1157">
      <formula>N127=1</formula>
    </cfRule>
  </conditionalFormatting>
  <conditionalFormatting sqref="Q125">
    <cfRule type="expression" dxfId="1390" priority="1154">
      <formula>T125=1</formula>
    </cfRule>
    <cfRule type="expression" dxfId="1389" priority="1155">
      <formula>S125=1</formula>
    </cfRule>
  </conditionalFormatting>
  <conditionalFormatting sqref="Q126">
    <cfRule type="expression" dxfId="1388" priority="1152">
      <formula>T126=1</formula>
    </cfRule>
    <cfRule type="expression" dxfId="1387" priority="1153">
      <formula>S126=1</formula>
    </cfRule>
  </conditionalFormatting>
  <conditionalFormatting sqref="Q127">
    <cfRule type="expression" dxfId="1386" priority="1150">
      <formula>T127=1</formula>
    </cfRule>
    <cfRule type="expression" dxfId="1385" priority="1151">
      <formula>S127=1</formula>
    </cfRule>
  </conditionalFormatting>
  <conditionalFormatting sqref="V125">
    <cfRule type="expression" dxfId="1384" priority="1148">
      <formula>Y125=1</formula>
    </cfRule>
    <cfRule type="expression" dxfId="1383" priority="1149">
      <formula>X125=1</formula>
    </cfRule>
  </conditionalFormatting>
  <conditionalFormatting sqref="V126">
    <cfRule type="expression" dxfId="1382" priority="1146">
      <formula>Y126=1</formula>
    </cfRule>
    <cfRule type="expression" dxfId="1381" priority="1147">
      <formula>X126=1</formula>
    </cfRule>
  </conditionalFormatting>
  <conditionalFormatting sqref="V127">
    <cfRule type="expression" dxfId="1380" priority="1144">
      <formula>Y127=1</formula>
    </cfRule>
    <cfRule type="expression" dxfId="1379" priority="1145">
      <formula>X127=1</formula>
    </cfRule>
  </conditionalFormatting>
  <conditionalFormatting sqref="AA125">
    <cfRule type="expression" dxfId="1378" priority="1142">
      <formula>AD125=1</formula>
    </cfRule>
    <cfRule type="expression" dxfId="1377" priority="1143">
      <formula>AC125=1</formula>
    </cfRule>
  </conditionalFormatting>
  <conditionalFormatting sqref="AA126">
    <cfRule type="expression" dxfId="1376" priority="1140">
      <formula>AD126=1</formula>
    </cfRule>
    <cfRule type="expression" dxfId="1375" priority="1141">
      <formula>AC126=1</formula>
    </cfRule>
  </conditionalFormatting>
  <conditionalFormatting sqref="AA127">
    <cfRule type="expression" dxfId="1374" priority="1138">
      <formula>AD127=1</formula>
    </cfRule>
    <cfRule type="expression" dxfId="1373" priority="1139">
      <formula>AC127=1</formula>
    </cfRule>
  </conditionalFormatting>
  <conditionalFormatting sqref="AF125">
    <cfRule type="expression" dxfId="1372" priority="1136">
      <formula>AI125=1</formula>
    </cfRule>
    <cfRule type="expression" dxfId="1371" priority="1137">
      <formula>AH125=1</formula>
    </cfRule>
  </conditionalFormatting>
  <conditionalFormatting sqref="AF126">
    <cfRule type="expression" dxfId="1370" priority="1134">
      <formula>AI126=1</formula>
    </cfRule>
    <cfRule type="expression" dxfId="1369" priority="1135">
      <formula>AH126=1</formula>
    </cfRule>
  </conditionalFormatting>
  <conditionalFormatting sqref="AF127">
    <cfRule type="expression" dxfId="1368" priority="1132">
      <formula>AI127=1</formula>
    </cfRule>
    <cfRule type="expression" dxfId="1367" priority="1133">
      <formula>AH127=1</formula>
    </cfRule>
  </conditionalFormatting>
  <conditionalFormatting sqref="L119">
    <cfRule type="expression" dxfId="1366" priority="1128">
      <formula>AND(O119=1,P119=1)</formula>
    </cfRule>
    <cfRule type="expression" dxfId="1365" priority="1130">
      <formula>O119=1</formula>
    </cfRule>
    <cfRule type="expression" dxfId="1364" priority="1131">
      <formula>N119=1</formula>
    </cfRule>
  </conditionalFormatting>
  <conditionalFormatting sqref="L119">
    <cfRule type="expression" dxfId="1363" priority="1129">
      <formula>P119=1</formula>
    </cfRule>
  </conditionalFormatting>
  <conditionalFormatting sqref="Q119">
    <cfRule type="expression" dxfId="1362" priority="1124">
      <formula>AND(T119=1,U119=1)</formula>
    </cfRule>
    <cfRule type="expression" dxfId="1361" priority="1126">
      <formula>T119=1</formula>
    </cfRule>
    <cfRule type="expression" dxfId="1360" priority="1127">
      <formula>S119=1</formula>
    </cfRule>
  </conditionalFormatting>
  <conditionalFormatting sqref="Q119">
    <cfRule type="expression" dxfId="1359" priority="1125">
      <formula>U119=1</formula>
    </cfRule>
  </conditionalFormatting>
  <conditionalFormatting sqref="V119">
    <cfRule type="expression" dxfId="1358" priority="1120">
      <formula>AND(Y119=1,Z119=1)</formula>
    </cfRule>
    <cfRule type="expression" dxfId="1357" priority="1122">
      <formula>Y119=1</formula>
    </cfRule>
    <cfRule type="expression" dxfId="1356" priority="1123">
      <formula>X119=1</formula>
    </cfRule>
  </conditionalFormatting>
  <conditionalFormatting sqref="V119">
    <cfRule type="expression" dxfId="1355" priority="1121">
      <formula>Z119=1</formula>
    </cfRule>
  </conditionalFormatting>
  <conditionalFormatting sqref="AA119">
    <cfRule type="expression" dxfId="1354" priority="1116">
      <formula>AND(AD119=1,AE119=1)</formula>
    </cfRule>
    <cfRule type="expression" dxfId="1353" priority="1118">
      <formula>AD119=1</formula>
    </cfRule>
    <cfRule type="expression" dxfId="1352" priority="1119">
      <formula>AC119=1</formula>
    </cfRule>
  </conditionalFormatting>
  <conditionalFormatting sqref="AA119">
    <cfRule type="expression" dxfId="1351" priority="1117">
      <formula>AE119=1</formula>
    </cfRule>
  </conditionalFormatting>
  <conditionalFormatting sqref="AF119">
    <cfRule type="expression" dxfId="1350" priority="1112">
      <formula>AND(AI119=1,AJ119=1)</formula>
    </cfRule>
    <cfRule type="expression" dxfId="1349" priority="1114">
      <formula>AI119=1</formula>
    </cfRule>
    <cfRule type="expression" dxfId="1348" priority="1115">
      <formula>AH119=1</formula>
    </cfRule>
  </conditionalFormatting>
  <conditionalFormatting sqref="AF119">
    <cfRule type="expression" dxfId="1347" priority="1113">
      <formula>AJ119=1</formula>
    </cfRule>
  </conditionalFormatting>
  <conditionalFormatting sqref="L124">
    <cfRule type="expression" dxfId="1346" priority="1108">
      <formula>AND(O124=1,P124=1)</formula>
    </cfRule>
    <cfRule type="expression" dxfId="1345" priority="1110">
      <formula>O124=1</formula>
    </cfRule>
    <cfRule type="expression" dxfId="1344" priority="1111">
      <formula>N124=1</formula>
    </cfRule>
  </conditionalFormatting>
  <conditionalFormatting sqref="L124">
    <cfRule type="expression" dxfId="1343" priority="1109">
      <formula>P124=1</formula>
    </cfRule>
  </conditionalFormatting>
  <conditionalFormatting sqref="Q124">
    <cfRule type="expression" dxfId="1342" priority="1104">
      <formula>AND(T124=1,U124=1)</formula>
    </cfRule>
    <cfRule type="expression" dxfId="1341" priority="1106">
      <formula>T124=1</formula>
    </cfRule>
    <cfRule type="expression" dxfId="1340" priority="1107">
      <formula>S124=1</formula>
    </cfRule>
  </conditionalFormatting>
  <conditionalFormatting sqref="Q124">
    <cfRule type="expression" dxfId="1339" priority="1105">
      <formula>U124=1</formula>
    </cfRule>
  </conditionalFormatting>
  <conditionalFormatting sqref="V124">
    <cfRule type="expression" dxfId="1338" priority="1100">
      <formula>AND(Y124=1,Z124=1)</formula>
    </cfRule>
    <cfRule type="expression" dxfId="1337" priority="1102">
      <formula>Y124=1</formula>
    </cfRule>
    <cfRule type="expression" dxfId="1336" priority="1103">
      <formula>X124=1</formula>
    </cfRule>
  </conditionalFormatting>
  <conditionalFormatting sqref="V124">
    <cfRule type="expression" dxfId="1335" priority="1101">
      <formula>Z124=1</formula>
    </cfRule>
  </conditionalFormatting>
  <conditionalFormatting sqref="AA124">
    <cfRule type="expression" dxfId="1334" priority="1096">
      <formula>AND(AD124=1,AE124=1)</formula>
    </cfRule>
    <cfRule type="expression" dxfId="1333" priority="1098">
      <formula>AD124=1</formula>
    </cfRule>
    <cfRule type="expression" dxfId="1332" priority="1099">
      <formula>AC124=1</formula>
    </cfRule>
  </conditionalFormatting>
  <conditionalFormatting sqref="AA124">
    <cfRule type="expression" dxfId="1331" priority="1097">
      <formula>AE124=1</formula>
    </cfRule>
  </conditionalFormatting>
  <conditionalFormatting sqref="AF124">
    <cfRule type="expression" dxfId="1330" priority="1092">
      <formula>AND(AI124=1,AJ124=1)</formula>
    </cfRule>
    <cfRule type="expression" dxfId="1329" priority="1094">
      <formula>AI124=1</formula>
    </cfRule>
    <cfRule type="expression" dxfId="1328" priority="1095">
      <formula>AH124=1</formula>
    </cfRule>
  </conditionalFormatting>
  <conditionalFormatting sqref="AF124">
    <cfRule type="expression" dxfId="1327" priority="1093">
      <formula>AJ124=1</formula>
    </cfRule>
  </conditionalFormatting>
  <conditionalFormatting sqref="L129">
    <cfRule type="expression" dxfId="1326" priority="1088">
      <formula>AND(O129=1,P129=1)</formula>
    </cfRule>
    <cfRule type="expression" dxfId="1325" priority="1090">
      <formula>O129=1</formula>
    </cfRule>
    <cfRule type="expression" dxfId="1324" priority="1091">
      <formula>N129=1</formula>
    </cfRule>
  </conditionalFormatting>
  <conditionalFormatting sqref="L129">
    <cfRule type="expression" dxfId="1323" priority="1089">
      <formula>P129=1</formula>
    </cfRule>
  </conditionalFormatting>
  <conditionalFormatting sqref="Q129">
    <cfRule type="expression" dxfId="1322" priority="1084">
      <formula>AND(T129=1,U129=1)</formula>
    </cfRule>
    <cfRule type="expression" dxfId="1321" priority="1086">
      <formula>T129=1</formula>
    </cfRule>
    <cfRule type="expression" dxfId="1320" priority="1087">
      <formula>S129=1</formula>
    </cfRule>
  </conditionalFormatting>
  <conditionalFormatting sqref="Q129">
    <cfRule type="expression" dxfId="1319" priority="1085">
      <formula>U129=1</formula>
    </cfRule>
  </conditionalFormatting>
  <conditionalFormatting sqref="V129">
    <cfRule type="expression" dxfId="1318" priority="1080">
      <formula>AND(Y129=1,Z129=1)</formula>
    </cfRule>
    <cfRule type="expression" dxfId="1317" priority="1082">
      <formula>Y129=1</formula>
    </cfRule>
    <cfRule type="expression" dxfId="1316" priority="1083">
      <formula>X129=1</formula>
    </cfRule>
  </conditionalFormatting>
  <conditionalFormatting sqref="V129">
    <cfRule type="expression" dxfId="1315" priority="1081">
      <formula>Z129=1</formula>
    </cfRule>
  </conditionalFormatting>
  <conditionalFormatting sqref="AA129">
    <cfRule type="expression" dxfId="1314" priority="1076">
      <formula>AND(AD129=1,AE129=1)</formula>
    </cfRule>
    <cfRule type="expression" dxfId="1313" priority="1078">
      <formula>AD129=1</formula>
    </cfRule>
    <cfRule type="expression" dxfId="1312" priority="1079">
      <formula>AC129=1</formula>
    </cfRule>
  </conditionalFormatting>
  <conditionalFormatting sqref="AA129">
    <cfRule type="expression" dxfId="1311" priority="1077">
      <formula>AE129=1</formula>
    </cfRule>
  </conditionalFormatting>
  <conditionalFormatting sqref="AF129">
    <cfRule type="expression" dxfId="1310" priority="1072">
      <formula>AND(AI129=1,AJ129=1)</formula>
    </cfRule>
    <cfRule type="expression" dxfId="1309" priority="1074">
      <formula>AI129=1</formula>
    </cfRule>
    <cfRule type="expression" dxfId="1308" priority="1075">
      <formula>AH129=1</formula>
    </cfRule>
  </conditionalFormatting>
  <conditionalFormatting sqref="AF129">
    <cfRule type="expression" dxfId="1307" priority="1073">
      <formula>AJ129=1</formula>
    </cfRule>
  </conditionalFormatting>
  <conditionalFormatting sqref="L134">
    <cfRule type="expression" dxfId="1306" priority="1068">
      <formula>AND(O134=1,P134=1)</formula>
    </cfRule>
    <cfRule type="expression" dxfId="1305" priority="1070">
      <formula>O134=1</formula>
    </cfRule>
    <cfRule type="expression" dxfId="1304" priority="1071">
      <formula>N134=1</formula>
    </cfRule>
  </conditionalFormatting>
  <conditionalFormatting sqref="L134">
    <cfRule type="expression" dxfId="1303" priority="1069">
      <formula>P134=1</formula>
    </cfRule>
  </conditionalFormatting>
  <conditionalFormatting sqref="Q134">
    <cfRule type="expression" dxfId="1302" priority="1064">
      <formula>AND(T134=1,U134=1)</formula>
    </cfRule>
    <cfRule type="expression" dxfId="1301" priority="1066">
      <formula>T134=1</formula>
    </cfRule>
    <cfRule type="expression" dxfId="1300" priority="1067">
      <formula>S134=1</formula>
    </cfRule>
  </conditionalFormatting>
  <conditionalFormatting sqref="Q134">
    <cfRule type="expression" dxfId="1299" priority="1065">
      <formula>U134=1</formula>
    </cfRule>
  </conditionalFormatting>
  <conditionalFormatting sqref="V134">
    <cfRule type="expression" dxfId="1298" priority="1060">
      <formula>AND(Y134=1,Z134=1)</formula>
    </cfRule>
    <cfRule type="expression" dxfId="1297" priority="1062">
      <formula>Y134=1</formula>
    </cfRule>
    <cfRule type="expression" dxfId="1296" priority="1063">
      <formula>X134=1</formula>
    </cfRule>
  </conditionalFormatting>
  <conditionalFormatting sqref="V134">
    <cfRule type="expression" dxfId="1295" priority="1061">
      <formula>Z134=1</formula>
    </cfRule>
  </conditionalFormatting>
  <conditionalFormatting sqref="AA134">
    <cfRule type="expression" dxfId="1294" priority="1056">
      <formula>AND(AD134=1,AE134=1)</formula>
    </cfRule>
    <cfRule type="expression" dxfId="1293" priority="1058">
      <formula>AD134=1</formula>
    </cfRule>
    <cfRule type="expression" dxfId="1292" priority="1059">
      <formula>AC134=1</formula>
    </cfRule>
  </conditionalFormatting>
  <conditionalFormatting sqref="AA134">
    <cfRule type="expression" dxfId="1291" priority="1057">
      <formula>AE134=1</formula>
    </cfRule>
  </conditionalFormatting>
  <conditionalFormatting sqref="AF134">
    <cfRule type="expression" dxfId="1290" priority="1052">
      <formula>AND(AI134=1,AJ134=1)</formula>
    </cfRule>
    <cfRule type="expression" dxfId="1289" priority="1054">
      <formula>AI134=1</formula>
    </cfRule>
    <cfRule type="expression" dxfId="1288" priority="1055">
      <formula>AH134=1</formula>
    </cfRule>
  </conditionalFormatting>
  <conditionalFormatting sqref="AF134">
    <cfRule type="expression" dxfId="1287" priority="1053">
      <formula>AJ134=1</formula>
    </cfRule>
  </conditionalFormatting>
  <conditionalFormatting sqref="L139">
    <cfRule type="expression" dxfId="1286" priority="1048">
      <formula>AND(O139=1,P139=1)</formula>
    </cfRule>
    <cfRule type="expression" dxfId="1285" priority="1050">
      <formula>O139=1</formula>
    </cfRule>
    <cfRule type="expression" dxfId="1284" priority="1051">
      <formula>N139=1</formula>
    </cfRule>
  </conditionalFormatting>
  <conditionalFormatting sqref="L139">
    <cfRule type="expression" dxfId="1283" priority="1049">
      <formula>P139=1</formula>
    </cfRule>
  </conditionalFormatting>
  <conditionalFormatting sqref="Q139">
    <cfRule type="expression" dxfId="1282" priority="1044">
      <formula>AND(T139=1,U139=1)</formula>
    </cfRule>
    <cfRule type="expression" dxfId="1281" priority="1046">
      <formula>T139=1</formula>
    </cfRule>
    <cfRule type="expression" dxfId="1280" priority="1047">
      <formula>S139=1</formula>
    </cfRule>
  </conditionalFormatting>
  <conditionalFormatting sqref="Q139">
    <cfRule type="expression" dxfId="1279" priority="1045">
      <formula>U139=1</formula>
    </cfRule>
  </conditionalFormatting>
  <conditionalFormatting sqref="V139">
    <cfRule type="expression" dxfId="1278" priority="1040">
      <formula>AND(Y139=1,Z139=1)</formula>
    </cfRule>
    <cfRule type="expression" dxfId="1277" priority="1042">
      <formula>Y139=1</formula>
    </cfRule>
    <cfRule type="expression" dxfId="1276" priority="1043">
      <formula>X139=1</formula>
    </cfRule>
  </conditionalFormatting>
  <conditionalFormatting sqref="V139">
    <cfRule type="expression" dxfId="1275" priority="1041">
      <formula>Z139=1</formula>
    </cfRule>
  </conditionalFormatting>
  <conditionalFormatting sqref="AA139">
    <cfRule type="expression" dxfId="1274" priority="1036">
      <formula>AND(AD139=1,AE139=1)</formula>
    </cfRule>
    <cfRule type="expression" dxfId="1273" priority="1038">
      <formula>AD139=1</formula>
    </cfRule>
    <cfRule type="expression" dxfId="1272" priority="1039">
      <formula>AC139=1</formula>
    </cfRule>
  </conditionalFormatting>
  <conditionalFormatting sqref="AA139">
    <cfRule type="expression" dxfId="1271" priority="1037">
      <formula>AE139=1</formula>
    </cfRule>
  </conditionalFormatting>
  <conditionalFormatting sqref="AF139">
    <cfRule type="expression" dxfId="1270" priority="1032">
      <formula>AND(AI139=1,AJ139=1)</formula>
    </cfRule>
    <cfRule type="expression" dxfId="1269" priority="1034">
      <formula>AI139=1</formula>
    </cfRule>
    <cfRule type="expression" dxfId="1268" priority="1035">
      <formula>AH139=1</formula>
    </cfRule>
  </conditionalFormatting>
  <conditionalFormatting sqref="AF139">
    <cfRule type="expression" dxfId="1267" priority="1033">
      <formula>AJ139=1</formula>
    </cfRule>
  </conditionalFormatting>
  <conditionalFormatting sqref="L144">
    <cfRule type="expression" dxfId="1266" priority="1028">
      <formula>AND(O144=1,P144=1)</formula>
    </cfRule>
    <cfRule type="expression" dxfId="1265" priority="1030">
      <formula>O144=1</formula>
    </cfRule>
    <cfRule type="expression" dxfId="1264" priority="1031">
      <formula>N144=1</formula>
    </cfRule>
  </conditionalFormatting>
  <conditionalFormatting sqref="L144">
    <cfRule type="expression" dxfId="1263" priority="1029">
      <formula>P144=1</formula>
    </cfRule>
  </conditionalFormatting>
  <conditionalFormatting sqref="Q144">
    <cfRule type="expression" dxfId="1262" priority="1024">
      <formula>AND(T144=1,U144=1)</formula>
    </cfRule>
    <cfRule type="expression" dxfId="1261" priority="1026">
      <formula>T144=1</formula>
    </cfRule>
    <cfRule type="expression" dxfId="1260" priority="1027">
      <formula>S144=1</formula>
    </cfRule>
  </conditionalFormatting>
  <conditionalFormatting sqref="Q144">
    <cfRule type="expression" dxfId="1259" priority="1025">
      <formula>U144=1</formula>
    </cfRule>
  </conditionalFormatting>
  <conditionalFormatting sqref="V144">
    <cfRule type="expression" dxfId="1258" priority="1020">
      <formula>AND(Y144=1,Z144=1)</formula>
    </cfRule>
    <cfRule type="expression" dxfId="1257" priority="1022">
      <formula>Y144=1</formula>
    </cfRule>
    <cfRule type="expression" dxfId="1256" priority="1023">
      <formula>X144=1</formula>
    </cfRule>
  </conditionalFormatting>
  <conditionalFormatting sqref="V144">
    <cfRule type="expression" dxfId="1255" priority="1021">
      <formula>Z144=1</formula>
    </cfRule>
  </conditionalFormatting>
  <conditionalFormatting sqref="AA144">
    <cfRule type="expression" dxfId="1254" priority="1016">
      <formula>AND(AD144=1,AE144=1)</formula>
    </cfRule>
    <cfRule type="expression" dxfId="1253" priority="1018">
      <formula>AD144=1</formula>
    </cfRule>
    <cfRule type="expression" dxfId="1252" priority="1019">
      <formula>AC144=1</formula>
    </cfRule>
  </conditionalFormatting>
  <conditionalFormatting sqref="AA144">
    <cfRule type="expression" dxfId="1251" priority="1017">
      <formula>AE144=1</formula>
    </cfRule>
  </conditionalFormatting>
  <conditionalFormatting sqref="AF144">
    <cfRule type="expression" dxfId="1250" priority="1012">
      <formula>AND(AI144=1,AJ144=1)</formula>
    </cfRule>
    <cfRule type="expression" dxfId="1249" priority="1014">
      <formula>AI144=1</formula>
    </cfRule>
    <cfRule type="expression" dxfId="1248" priority="1015">
      <formula>AH144=1</formula>
    </cfRule>
  </conditionalFormatting>
  <conditionalFormatting sqref="AF144">
    <cfRule type="expression" dxfId="1247" priority="1013">
      <formula>AJ144=1</formula>
    </cfRule>
  </conditionalFormatting>
  <conditionalFormatting sqref="L149">
    <cfRule type="expression" dxfId="1246" priority="1008">
      <formula>AND(O149=1,P149=1)</formula>
    </cfRule>
    <cfRule type="expression" dxfId="1245" priority="1010">
      <formula>O149=1</formula>
    </cfRule>
    <cfRule type="expression" dxfId="1244" priority="1011">
      <formula>N149=1</formula>
    </cfRule>
  </conditionalFormatting>
  <conditionalFormatting sqref="L149">
    <cfRule type="expression" dxfId="1243" priority="1009">
      <formula>P149=1</formula>
    </cfRule>
  </conditionalFormatting>
  <conditionalFormatting sqref="Q149">
    <cfRule type="expression" dxfId="1242" priority="1004">
      <formula>AND(T149=1,U149=1)</formula>
    </cfRule>
    <cfRule type="expression" dxfId="1241" priority="1006">
      <formula>T149=1</formula>
    </cfRule>
    <cfRule type="expression" dxfId="1240" priority="1007">
      <formula>S149=1</formula>
    </cfRule>
  </conditionalFormatting>
  <conditionalFormatting sqref="Q149">
    <cfRule type="expression" dxfId="1239" priority="1005">
      <formula>U149=1</formula>
    </cfRule>
  </conditionalFormatting>
  <conditionalFormatting sqref="V149">
    <cfRule type="expression" dxfId="1238" priority="1000">
      <formula>AND(Y149=1,Z149=1)</formula>
    </cfRule>
    <cfRule type="expression" dxfId="1237" priority="1002">
      <formula>Y149=1</formula>
    </cfRule>
    <cfRule type="expression" dxfId="1236" priority="1003">
      <formula>X149=1</formula>
    </cfRule>
  </conditionalFormatting>
  <conditionalFormatting sqref="V149">
    <cfRule type="expression" dxfId="1235" priority="1001">
      <formula>Z149=1</formula>
    </cfRule>
  </conditionalFormatting>
  <conditionalFormatting sqref="AA149">
    <cfRule type="expression" dxfId="1234" priority="996">
      <formula>AND(AD149=1,AE149=1)</formula>
    </cfRule>
    <cfRule type="expression" dxfId="1233" priority="998">
      <formula>AD149=1</formula>
    </cfRule>
    <cfRule type="expression" dxfId="1232" priority="999">
      <formula>AC149=1</formula>
    </cfRule>
  </conditionalFormatting>
  <conditionalFormatting sqref="AA149">
    <cfRule type="expression" dxfId="1231" priority="997">
      <formula>AE149=1</formula>
    </cfRule>
  </conditionalFormatting>
  <conditionalFormatting sqref="AF149">
    <cfRule type="expression" dxfId="1230" priority="992">
      <formula>AND(AI149=1,AJ149=1)</formula>
    </cfRule>
    <cfRule type="expression" dxfId="1229" priority="994">
      <formula>AI149=1</formula>
    </cfRule>
    <cfRule type="expression" dxfId="1228" priority="995">
      <formula>AH149=1</formula>
    </cfRule>
  </conditionalFormatting>
  <conditionalFormatting sqref="AF149">
    <cfRule type="expression" dxfId="1227" priority="993">
      <formula>AJ149=1</formula>
    </cfRule>
  </conditionalFormatting>
  <conditionalFormatting sqref="L154">
    <cfRule type="expression" dxfId="1226" priority="988">
      <formula>AND(O154=1,P154=1)</formula>
    </cfRule>
    <cfRule type="expression" dxfId="1225" priority="990">
      <formula>O154=1</formula>
    </cfRule>
    <cfRule type="expression" dxfId="1224" priority="991">
      <formula>N154=1</formula>
    </cfRule>
  </conditionalFormatting>
  <conditionalFormatting sqref="L154">
    <cfRule type="expression" dxfId="1223" priority="989">
      <formula>P154=1</formula>
    </cfRule>
  </conditionalFormatting>
  <conditionalFormatting sqref="Q154">
    <cfRule type="expression" dxfId="1222" priority="984">
      <formula>AND(T154=1,U154=1)</formula>
    </cfRule>
    <cfRule type="expression" dxfId="1221" priority="986">
      <formula>T154=1</formula>
    </cfRule>
    <cfRule type="expression" dxfId="1220" priority="987">
      <formula>S154=1</formula>
    </cfRule>
  </conditionalFormatting>
  <conditionalFormatting sqref="Q154">
    <cfRule type="expression" dxfId="1219" priority="985">
      <formula>U154=1</formula>
    </cfRule>
  </conditionalFormatting>
  <conditionalFormatting sqref="V154">
    <cfRule type="expression" dxfId="1218" priority="980">
      <formula>AND(Y154=1,Z154=1)</formula>
    </cfRule>
    <cfRule type="expression" dxfId="1217" priority="982">
      <formula>Y154=1</formula>
    </cfRule>
    <cfRule type="expression" dxfId="1216" priority="983">
      <formula>X154=1</formula>
    </cfRule>
  </conditionalFormatting>
  <conditionalFormatting sqref="V154">
    <cfRule type="expression" dxfId="1215" priority="981">
      <formula>Z154=1</formula>
    </cfRule>
  </conditionalFormatting>
  <conditionalFormatting sqref="AA154">
    <cfRule type="expression" dxfId="1214" priority="976">
      <formula>AND(AD154=1,AE154=1)</formula>
    </cfRule>
    <cfRule type="expression" dxfId="1213" priority="978">
      <formula>AD154=1</formula>
    </cfRule>
    <cfRule type="expression" dxfId="1212" priority="979">
      <formula>AC154=1</formula>
    </cfRule>
  </conditionalFormatting>
  <conditionalFormatting sqref="AA154">
    <cfRule type="expression" dxfId="1211" priority="977">
      <formula>AE154=1</formula>
    </cfRule>
  </conditionalFormatting>
  <conditionalFormatting sqref="AF154">
    <cfRule type="expression" dxfId="1210" priority="972">
      <formula>AND(AI154=1,AJ154=1)</formula>
    </cfRule>
    <cfRule type="expression" dxfId="1209" priority="974">
      <formula>AI154=1</formula>
    </cfRule>
    <cfRule type="expression" dxfId="1208" priority="975">
      <formula>AH154=1</formula>
    </cfRule>
  </conditionalFormatting>
  <conditionalFormatting sqref="AF154">
    <cfRule type="expression" dxfId="1207" priority="973">
      <formula>AJ154=1</formula>
    </cfRule>
  </conditionalFormatting>
  <conditionalFormatting sqref="L159">
    <cfRule type="expression" dxfId="1206" priority="968">
      <formula>AND(O159=1,P159=1)</formula>
    </cfRule>
    <cfRule type="expression" dxfId="1205" priority="970">
      <formula>O159=1</formula>
    </cfRule>
    <cfRule type="expression" dxfId="1204" priority="971">
      <formula>N159=1</formula>
    </cfRule>
  </conditionalFormatting>
  <conditionalFormatting sqref="L159">
    <cfRule type="expression" dxfId="1203" priority="969">
      <formula>P159=1</formula>
    </cfRule>
  </conditionalFormatting>
  <conditionalFormatting sqref="Q159">
    <cfRule type="expression" dxfId="1202" priority="964">
      <formula>AND(T159=1,U159=1)</formula>
    </cfRule>
    <cfRule type="expression" dxfId="1201" priority="966">
      <formula>T159=1</formula>
    </cfRule>
    <cfRule type="expression" dxfId="1200" priority="967">
      <formula>S159=1</formula>
    </cfRule>
  </conditionalFormatting>
  <conditionalFormatting sqref="Q159">
    <cfRule type="expression" dxfId="1199" priority="965">
      <formula>U159=1</formula>
    </cfRule>
  </conditionalFormatting>
  <conditionalFormatting sqref="V159">
    <cfRule type="expression" dxfId="1198" priority="960">
      <formula>AND(Y159=1,Z159=1)</formula>
    </cfRule>
    <cfRule type="expression" dxfId="1197" priority="962">
      <formula>Y159=1</formula>
    </cfRule>
    <cfRule type="expression" dxfId="1196" priority="963">
      <formula>X159=1</formula>
    </cfRule>
  </conditionalFormatting>
  <conditionalFormatting sqref="V159">
    <cfRule type="expression" dxfId="1195" priority="961">
      <formula>Z159=1</formula>
    </cfRule>
  </conditionalFormatting>
  <conditionalFormatting sqref="AA159">
    <cfRule type="expression" dxfId="1194" priority="956">
      <formula>AND(AD159=1,AE159=1)</formula>
    </cfRule>
    <cfRule type="expression" dxfId="1193" priority="958">
      <formula>AD159=1</formula>
    </cfRule>
    <cfRule type="expression" dxfId="1192" priority="959">
      <formula>AC159=1</formula>
    </cfRule>
  </conditionalFormatting>
  <conditionalFormatting sqref="AA159">
    <cfRule type="expression" dxfId="1191" priority="957">
      <formula>AE159=1</formula>
    </cfRule>
  </conditionalFormatting>
  <conditionalFormatting sqref="AF159">
    <cfRule type="expression" dxfId="1190" priority="952">
      <formula>AND(AI159=1,AJ159=1)</formula>
    </cfRule>
    <cfRule type="expression" dxfId="1189" priority="954">
      <formula>AI159=1</formula>
    </cfRule>
    <cfRule type="expression" dxfId="1188" priority="955">
      <formula>AH159=1</formula>
    </cfRule>
  </conditionalFormatting>
  <conditionalFormatting sqref="AF159">
    <cfRule type="expression" dxfId="1187" priority="953">
      <formula>AJ159=1</formula>
    </cfRule>
  </conditionalFormatting>
  <conditionalFormatting sqref="L130">
    <cfRule type="expression" dxfId="1186" priority="950">
      <formula>O130=1</formula>
    </cfRule>
    <cfRule type="expression" dxfId="1185" priority="951">
      <formula>N130=1</formula>
    </cfRule>
  </conditionalFormatting>
  <conditionalFormatting sqref="L131">
    <cfRule type="expression" dxfId="1184" priority="948">
      <formula>O131=1</formula>
    </cfRule>
    <cfRule type="expression" dxfId="1183" priority="949">
      <formula>N131=1</formula>
    </cfRule>
  </conditionalFormatting>
  <conditionalFormatting sqref="L132">
    <cfRule type="expression" dxfId="1182" priority="946">
      <formula>O132=1</formula>
    </cfRule>
    <cfRule type="expression" dxfId="1181" priority="947">
      <formula>N132=1</formula>
    </cfRule>
  </conditionalFormatting>
  <conditionalFormatting sqref="Q130">
    <cfRule type="expression" dxfId="1180" priority="944">
      <formula>T130=1</formula>
    </cfRule>
    <cfRule type="expression" dxfId="1179" priority="945">
      <formula>S130=1</formula>
    </cfRule>
  </conditionalFormatting>
  <conditionalFormatting sqref="Q131">
    <cfRule type="expression" dxfId="1178" priority="942">
      <formula>T131=1</formula>
    </cfRule>
    <cfRule type="expression" dxfId="1177" priority="943">
      <formula>S131=1</formula>
    </cfRule>
  </conditionalFormatting>
  <conditionalFormatting sqref="Q132">
    <cfRule type="expression" dxfId="1176" priority="940">
      <formula>T132=1</formula>
    </cfRule>
    <cfRule type="expression" dxfId="1175" priority="941">
      <formula>S132=1</formula>
    </cfRule>
  </conditionalFormatting>
  <conditionalFormatting sqref="V130">
    <cfRule type="expression" dxfId="1174" priority="938">
      <formula>Y130=1</formula>
    </cfRule>
    <cfRule type="expression" dxfId="1173" priority="939">
      <formula>X130=1</formula>
    </cfRule>
  </conditionalFormatting>
  <conditionalFormatting sqref="V131">
    <cfRule type="expression" dxfId="1172" priority="936">
      <formula>Y131=1</formula>
    </cfRule>
    <cfRule type="expression" dxfId="1171" priority="937">
      <formula>X131=1</formula>
    </cfRule>
  </conditionalFormatting>
  <conditionalFormatting sqref="V132">
    <cfRule type="expression" dxfId="1170" priority="934">
      <formula>Y132=1</formula>
    </cfRule>
    <cfRule type="expression" dxfId="1169" priority="935">
      <formula>X132=1</formula>
    </cfRule>
  </conditionalFormatting>
  <conditionalFormatting sqref="AA130">
    <cfRule type="expression" dxfId="1168" priority="932">
      <formula>AD130=1</formula>
    </cfRule>
    <cfRule type="expression" dxfId="1167" priority="933">
      <formula>AC130=1</formula>
    </cfRule>
  </conditionalFormatting>
  <conditionalFormatting sqref="AA131">
    <cfRule type="expression" dxfId="1166" priority="930">
      <formula>AD131=1</formula>
    </cfRule>
    <cfRule type="expression" dxfId="1165" priority="931">
      <formula>AC131=1</formula>
    </cfRule>
  </conditionalFormatting>
  <conditionalFormatting sqref="AA132">
    <cfRule type="expression" dxfId="1164" priority="928">
      <formula>AD132=1</formula>
    </cfRule>
    <cfRule type="expression" dxfId="1163" priority="929">
      <formula>AC132=1</formula>
    </cfRule>
  </conditionalFormatting>
  <conditionalFormatting sqref="AF130">
    <cfRule type="expression" dxfId="1162" priority="926">
      <formula>AI130=1</formula>
    </cfRule>
    <cfRule type="expression" dxfId="1161" priority="927">
      <formula>AH130=1</formula>
    </cfRule>
  </conditionalFormatting>
  <conditionalFormatting sqref="AF131">
    <cfRule type="expression" dxfId="1160" priority="924">
      <formula>AI131=1</formula>
    </cfRule>
    <cfRule type="expression" dxfId="1159" priority="925">
      <formula>AH131=1</formula>
    </cfRule>
  </conditionalFormatting>
  <conditionalFormatting sqref="AF132">
    <cfRule type="expression" dxfId="1158" priority="922">
      <formula>AI132=1</formula>
    </cfRule>
    <cfRule type="expression" dxfId="1157" priority="923">
      <formula>AH132=1</formula>
    </cfRule>
  </conditionalFormatting>
  <conditionalFormatting sqref="L135">
    <cfRule type="expression" dxfId="1156" priority="920">
      <formula>O135=1</formula>
    </cfRule>
    <cfRule type="expression" dxfId="1155" priority="921">
      <formula>N135=1</formula>
    </cfRule>
  </conditionalFormatting>
  <conditionalFormatting sqref="L136">
    <cfRule type="expression" dxfId="1154" priority="918">
      <formula>O136=1</formula>
    </cfRule>
    <cfRule type="expression" dxfId="1153" priority="919">
      <formula>N136=1</formula>
    </cfRule>
  </conditionalFormatting>
  <conditionalFormatting sqref="L137">
    <cfRule type="expression" dxfId="1152" priority="916">
      <formula>O137=1</formula>
    </cfRule>
    <cfRule type="expression" dxfId="1151" priority="917">
      <formula>N137=1</formula>
    </cfRule>
  </conditionalFormatting>
  <conditionalFormatting sqref="Q135">
    <cfRule type="expression" dxfId="1150" priority="914">
      <formula>T135=1</formula>
    </cfRule>
    <cfRule type="expression" dxfId="1149" priority="915">
      <formula>S135=1</formula>
    </cfRule>
  </conditionalFormatting>
  <conditionalFormatting sqref="Q136">
    <cfRule type="expression" dxfId="1148" priority="912">
      <formula>T136=1</formula>
    </cfRule>
    <cfRule type="expression" dxfId="1147" priority="913">
      <formula>S136=1</formula>
    </cfRule>
  </conditionalFormatting>
  <conditionalFormatting sqref="Q137">
    <cfRule type="expression" dxfId="1146" priority="910">
      <formula>T137=1</formula>
    </cfRule>
    <cfRule type="expression" dxfId="1145" priority="911">
      <formula>S137=1</formula>
    </cfRule>
  </conditionalFormatting>
  <conditionalFormatting sqref="V135">
    <cfRule type="expression" dxfId="1144" priority="908">
      <formula>Y135=1</formula>
    </cfRule>
    <cfRule type="expression" dxfId="1143" priority="909">
      <formula>X135=1</formula>
    </cfRule>
  </conditionalFormatting>
  <conditionalFormatting sqref="V136">
    <cfRule type="expression" dxfId="1142" priority="906">
      <formula>Y136=1</formula>
    </cfRule>
    <cfRule type="expression" dxfId="1141" priority="907">
      <formula>X136=1</formula>
    </cfRule>
  </conditionalFormatting>
  <conditionalFormatting sqref="V137">
    <cfRule type="expression" dxfId="1140" priority="904">
      <formula>Y137=1</formula>
    </cfRule>
    <cfRule type="expression" dxfId="1139" priority="905">
      <formula>X137=1</formula>
    </cfRule>
  </conditionalFormatting>
  <conditionalFormatting sqref="AA135">
    <cfRule type="expression" dxfId="1138" priority="902">
      <formula>AD135=1</formula>
    </cfRule>
    <cfRule type="expression" dxfId="1137" priority="903">
      <formula>AC135=1</formula>
    </cfRule>
  </conditionalFormatting>
  <conditionalFormatting sqref="AA136">
    <cfRule type="expression" dxfId="1136" priority="900">
      <formula>AD136=1</formula>
    </cfRule>
    <cfRule type="expression" dxfId="1135" priority="901">
      <formula>AC136=1</formula>
    </cfRule>
  </conditionalFormatting>
  <conditionalFormatting sqref="AA137">
    <cfRule type="expression" dxfId="1134" priority="898">
      <formula>AD137=1</formula>
    </cfRule>
    <cfRule type="expression" dxfId="1133" priority="899">
      <formula>AC137=1</formula>
    </cfRule>
  </conditionalFormatting>
  <conditionalFormatting sqref="AF135">
    <cfRule type="expression" dxfId="1132" priority="896">
      <formula>AI135=1</formula>
    </cfRule>
    <cfRule type="expression" dxfId="1131" priority="897">
      <formula>AH135=1</formula>
    </cfRule>
  </conditionalFormatting>
  <conditionalFormatting sqref="AF136">
    <cfRule type="expression" dxfId="1130" priority="894">
      <formula>AI136=1</formula>
    </cfRule>
    <cfRule type="expression" dxfId="1129" priority="895">
      <formula>AH136=1</formula>
    </cfRule>
  </conditionalFormatting>
  <conditionalFormatting sqref="AF137">
    <cfRule type="expression" dxfId="1128" priority="892">
      <formula>AI137=1</formula>
    </cfRule>
    <cfRule type="expression" dxfId="1127" priority="893">
      <formula>AH137=1</formula>
    </cfRule>
  </conditionalFormatting>
  <conditionalFormatting sqref="L140">
    <cfRule type="expression" dxfId="1126" priority="890">
      <formula>O140=1</formula>
    </cfRule>
    <cfRule type="expression" dxfId="1125" priority="891">
      <formula>N140=1</formula>
    </cfRule>
  </conditionalFormatting>
  <conditionalFormatting sqref="L141">
    <cfRule type="expression" dxfId="1124" priority="888">
      <formula>O141=1</formula>
    </cfRule>
    <cfRule type="expression" dxfId="1123" priority="889">
      <formula>N141=1</formula>
    </cfRule>
  </conditionalFormatting>
  <conditionalFormatting sqref="L142">
    <cfRule type="expression" dxfId="1122" priority="886">
      <formula>O142=1</formula>
    </cfRule>
    <cfRule type="expression" dxfId="1121" priority="887">
      <formula>N142=1</formula>
    </cfRule>
  </conditionalFormatting>
  <conditionalFormatting sqref="Q140">
    <cfRule type="expression" dxfId="1120" priority="884">
      <formula>T140=1</formula>
    </cfRule>
    <cfRule type="expression" dxfId="1119" priority="885">
      <formula>S140=1</formula>
    </cfRule>
  </conditionalFormatting>
  <conditionalFormatting sqref="Q141">
    <cfRule type="expression" dxfId="1118" priority="882">
      <formula>T141=1</formula>
    </cfRule>
    <cfRule type="expression" dxfId="1117" priority="883">
      <formula>S141=1</formula>
    </cfRule>
  </conditionalFormatting>
  <conditionalFormatting sqref="Q142">
    <cfRule type="expression" dxfId="1116" priority="880">
      <formula>T142=1</formula>
    </cfRule>
    <cfRule type="expression" dxfId="1115" priority="881">
      <formula>S142=1</formula>
    </cfRule>
  </conditionalFormatting>
  <conditionalFormatting sqref="V141">
    <cfRule type="expression" dxfId="1114" priority="878">
      <formula>Y141=1</formula>
    </cfRule>
    <cfRule type="expression" dxfId="1113" priority="879">
      <formula>X141=1</formula>
    </cfRule>
  </conditionalFormatting>
  <conditionalFormatting sqref="V140">
    <cfRule type="expression" dxfId="1112" priority="876">
      <formula>Y140=1</formula>
    </cfRule>
    <cfRule type="expression" dxfId="1111" priority="877">
      <formula>X140=1</formula>
    </cfRule>
  </conditionalFormatting>
  <conditionalFormatting sqref="V142">
    <cfRule type="expression" dxfId="1110" priority="874">
      <formula>Y142=1</formula>
    </cfRule>
    <cfRule type="expression" dxfId="1109" priority="875">
      <formula>X142=1</formula>
    </cfRule>
  </conditionalFormatting>
  <conditionalFormatting sqref="AA140">
    <cfRule type="expression" dxfId="1108" priority="872">
      <formula>AD140=1</formula>
    </cfRule>
    <cfRule type="expression" dxfId="1107" priority="873">
      <formula>AC140=1</formula>
    </cfRule>
  </conditionalFormatting>
  <conditionalFormatting sqref="AA141">
    <cfRule type="expression" dxfId="1106" priority="870">
      <formula>AD141=1</formula>
    </cfRule>
    <cfRule type="expression" dxfId="1105" priority="871">
      <formula>AC141=1</formula>
    </cfRule>
  </conditionalFormatting>
  <conditionalFormatting sqref="AA142">
    <cfRule type="expression" dxfId="1104" priority="868">
      <formula>AD142=1</formula>
    </cfRule>
    <cfRule type="expression" dxfId="1103" priority="869">
      <formula>AC142=1</formula>
    </cfRule>
  </conditionalFormatting>
  <conditionalFormatting sqref="AF140">
    <cfRule type="expression" dxfId="1102" priority="866">
      <formula>AI140=1</formula>
    </cfRule>
    <cfRule type="expression" dxfId="1101" priority="867">
      <formula>AH140=1</formula>
    </cfRule>
  </conditionalFormatting>
  <conditionalFormatting sqref="AF141">
    <cfRule type="expression" dxfId="1100" priority="864">
      <formula>AI141=1</formula>
    </cfRule>
    <cfRule type="expression" dxfId="1099" priority="865">
      <formula>AH141=1</formula>
    </cfRule>
  </conditionalFormatting>
  <conditionalFormatting sqref="AF142">
    <cfRule type="expression" dxfId="1098" priority="862">
      <formula>AI142=1</formula>
    </cfRule>
    <cfRule type="expression" dxfId="1097" priority="863">
      <formula>AH142=1</formula>
    </cfRule>
  </conditionalFormatting>
  <conditionalFormatting sqref="L145">
    <cfRule type="expression" dxfId="1096" priority="860">
      <formula>O145=1</formula>
    </cfRule>
    <cfRule type="expression" dxfId="1095" priority="861">
      <formula>N145=1</formula>
    </cfRule>
  </conditionalFormatting>
  <conditionalFormatting sqref="L146">
    <cfRule type="expression" dxfId="1094" priority="858">
      <formula>O146=1</formula>
    </cfRule>
    <cfRule type="expression" dxfId="1093" priority="859">
      <formula>N146=1</formula>
    </cfRule>
  </conditionalFormatting>
  <conditionalFormatting sqref="L147">
    <cfRule type="expression" dxfId="1092" priority="856">
      <formula>O147=1</formula>
    </cfRule>
    <cfRule type="expression" dxfId="1091" priority="857">
      <formula>N147=1</formula>
    </cfRule>
  </conditionalFormatting>
  <conditionalFormatting sqref="Q145">
    <cfRule type="expression" dxfId="1090" priority="854">
      <formula>T145=1</formula>
    </cfRule>
    <cfRule type="expression" dxfId="1089" priority="855">
      <formula>S145=1</formula>
    </cfRule>
  </conditionalFormatting>
  <conditionalFormatting sqref="Q146">
    <cfRule type="expression" dxfId="1088" priority="852">
      <formula>T146=1</formula>
    </cfRule>
    <cfRule type="expression" dxfId="1087" priority="853">
      <formula>S146=1</formula>
    </cfRule>
  </conditionalFormatting>
  <conditionalFormatting sqref="Q147">
    <cfRule type="expression" dxfId="1086" priority="850">
      <formula>T147=1</formula>
    </cfRule>
    <cfRule type="expression" dxfId="1085" priority="851">
      <formula>S147=1</formula>
    </cfRule>
  </conditionalFormatting>
  <conditionalFormatting sqref="V145">
    <cfRule type="expression" dxfId="1084" priority="848">
      <formula>Y145=1</formula>
    </cfRule>
    <cfRule type="expression" dxfId="1083" priority="849">
      <formula>X145=1</formula>
    </cfRule>
  </conditionalFormatting>
  <conditionalFormatting sqref="V146">
    <cfRule type="expression" dxfId="1082" priority="846">
      <formula>Y146=1</formula>
    </cfRule>
    <cfRule type="expression" dxfId="1081" priority="847">
      <formula>X146=1</formula>
    </cfRule>
  </conditionalFormatting>
  <conditionalFormatting sqref="V147">
    <cfRule type="expression" dxfId="1080" priority="844">
      <formula>Y147=1</formula>
    </cfRule>
    <cfRule type="expression" dxfId="1079" priority="845">
      <formula>X147=1</formula>
    </cfRule>
  </conditionalFormatting>
  <conditionalFormatting sqref="AA145">
    <cfRule type="expression" dxfId="1078" priority="842">
      <formula>AD145=1</formula>
    </cfRule>
    <cfRule type="expression" dxfId="1077" priority="843">
      <formula>AC145=1</formula>
    </cfRule>
  </conditionalFormatting>
  <conditionalFormatting sqref="AA146">
    <cfRule type="expression" dxfId="1076" priority="840">
      <formula>AD146=1</formula>
    </cfRule>
    <cfRule type="expression" dxfId="1075" priority="841">
      <formula>AC146=1</formula>
    </cfRule>
  </conditionalFormatting>
  <conditionalFormatting sqref="AA147">
    <cfRule type="expression" dxfId="1074" priority="838">
      <formula>AD147=1</formula>
    </cfRule>
    <cfRule type="expression" dxfId="1073" priority="839">
      <formula>AC147=1</formula>
    </cfRule>
  </conditionalFormatting>
  <conditionalFormatting sqref="AF145">
    <cfRule type="expression" dxfId="1072" priority="836">
      <formula>AI145=1</formula>
    </cfRule>
    <cfRule type="expression" dxfId="1071" priority="837">
      <formula>AH145=1</formula>
    </cfRule>
  </conditionalFormatting>
  <conditionalFormatting sqref="AF146">
    <cfRule type="expression" dxfId="1070" priority="834">
      <formula>AI146=1</formula>
    </cfRule>
    <cfRule type="expression" dxfId="1069" priority="835">
      <formula>AH146=1</formula>
    </cfRule>
  </conditionalFormatting>
  <conditionalFormatting sqref="AF147">
    <cfRule type="expression" dxfId="1068" priority="832">
      <formula>AI147=1</formula>
    </cfRule>
    <cfRule type="expression" dxfId="1067" priority="833">
      <formula>AH147=1</formula>
    </cfRule>
  </conditionalFormatting>
  <conditionalFormatting sqref="L150">
    <cfRule type="expression" dxfId="1066" priority="830">
      <formula>O150=1</formula>
    </cfRule>
    <cfRule type="expression" dxfId="1065" priority="831">
      <formula>N150=1</formula>
    </cfRule>
  </conditionalFormatting>
  <conditionalFormatting sqref="L151">
    <cfRule type="expression" dxfId="1064" priority="828">
      <formula>O151=1</formula>
    </cfRule>
    <cfRule type="expression" dxfId="1063" priority="829">
      <formula>N151=1</formula>
    </cfRule>
  </conditionalFormatting>
  <conditionalFormatting sqref="L152">
    <cfRule type="expression" dxfId="1062" priority="826">
      <formula>O152=1</formula>
    </cfRule>
    <cfRule type="expression" dxfId="1061" priority="827">
      <formula>N152=1</formula>
    </cfRule>
  </conditionalFormatting>
  <conditionalFormatting sqref="Q150">
    <cfRule type="expression" dxfId="1060" priority="824">
      <formula>T150=1</formula>
    </cfRule>
    <cfRule type="expression" dxfId="1059" priority="825">
      <formula>S150=1</formula>
    </cfRule>
  </conditionalFormatting>
  <conditionalFormatting sqref="Q151">
    <cfRule type="expression" dxfId="1058" priority="822">
      <formula>T151=1</formula>
    </cfRule>
    <cfRule type="expression" dxfId="1057" priority="823">
      <formula>S151=1</formula>
    </cfRule>
  </conditionalFormatting>
  <conditionalFormatting sqref="Q152">
    <cfRule type="expression" dxfId="1056" priority="820">
      <formula>T152=1</formula>
    </cfRule>
    <cfRule type="expression" dxfId="1055" priority="821">
      <formula>S152=1</formula>
    </cfRule>
  </conditionalFormatting>
  <conditionalFormatting sqref="V150">
    <cfRule type="expression" dxfId="1054" priority="818">
      <formula>Y150=1</formula>
    </cfRule>
    <cfRule type="expression" dxfId="1053" priority="819">
      <formula>X150=1</formula>
    </cfRule>
  </conditionalFormatting>
  <conditionalFormatting sqref="V151">
    <cfRule type="expression" dxfId="1052" priority="816">
      <formula>Y151=1</formula>
    </cfRule>
    <cfRule type="expression" dxfId="1051" priority="817">
      <formula>X151=1</formula>
    </cfRule>
  </conditionalFormatting>
  <conditionalFormatting sqref="V152">
    <cfRule type="expression" dxfId="1050" priority="814">
      <formula>Y152=1</formula>
    </cfRule>
    <cfRule type="expression" dxfId="1049" priority="815">
      <formula>X152=1</formula>
    </cfRule>
  </conditionalFormatting>
  <conditionalFormatting sqref="AA150">
    <cfRule type="expression" dxfId="1048" priority="812">
      <formula>AD150=1</formula>
    </cfRule>
    <cfRule type="expression" dxfId="1047" priority="813">
      <formula>AC150=1</formula>
    </cfRule>
  </conditionalFormatting>
  <conditionalFormatting sqref="AA151">
    <cfRule type="expression" dxfId="1046" priority="810">
      <formula>AD151=1</formula>
    </cfRule>
    <cfRule type="expression" dxfId="1045" priority="811">
      <formula>AC151=1</formula>
    </cfRule>
  </conditionalFormatting>
  <conditionalFormatting sqref="AA152">
    <cfRule type="expression" dxfId="1044" priority="808">
      <formula>AD152=1</formula>
    </cfRule>
    <cfRule type="expression" dxfId="1043" priority="809">
      <formula>AC152=1</formula>
    </cfRule>
  </conditionalFormatting>
  <conditionalFormatting sqref="AF150">
    <cfRule type="expression" dxfId="1042" priority="806">
      <formula>AI150=1</formula>
    </cfRule>
    <cfRule type="expression" dxfId="1041" priority="807">
      <formula>AH150=1</formula>
    </cfRule>
  </conditionalFormatting>
  <conditionalFormatting sqref="AF151">
    <cfRule type="expression" dxfId="1040" priority="804">
      <formula>AI151=1</formula>
    </cfRule>
    <cfRule type="expression" dxfId="1039" priority="805">
      <formula>AH151=1</formula>
    </cfRule>
  </conditionalFormatting>
  <conditionalFormatting sqref="AF152">
    <cfRule type="expression" dxfId="1038" priority="802">
      <formula>AI152=1</formula>
    </cfRule>
    <cfRule type="expression" dxfId="1037" priority="803">
      <formula>AH152=1</formula>
    </cfRule>
  </conditionalFormatting>
  <conditionalFormatting sqref="L155">
    <cfRule type="expression" dxfId="1036" priority="800">
      <formula>O155=1</formula>
    </cfRule>
    <cfRule type="expression" dxfId="1035" priority="801">
      <formula>N155=1</formula>
    </cfRule>
  </conditionalFormatting>
  <conditionalFormatting sqref="L156">
    <cfRule type="expression" dxfId="1034" priority="798">
      <formula>O156=1</formula>
    </cfRule>
    <cfRule type="expression" dxfId="1033" priority="799">
      <formula>N156=1</formula>
    </cfRule>
  </conditionalFormatting>
  <conditionalFormatting sqref="L157">
    <cfRule type="expression" dxfId="1032" priority="796">
      <formula>O157=1</formula>
    </cfRule>
    <cfRule type="expression" dxfId="1031" priority="797">
      <formula>N157=1</formula>
    </cfRule>
  </conditionalFormatting>
  <conditionalFormatting sqref="Q155">
    <cfRule type="expression" dxfId="1030" priority="794">
      <formula>T155=1</formula>
    </cfRule>
    <cfRule type="expression" dxfId="1029" priority="795">
      <formula>S155=1</formula>
    </cfRule>
  </conditionalFormatting>
  <conditionalFormatting sqref="Q156">
    <cfRule type="expression" dxfId="1028" priority="792">
      <formula>T156=1</formula>
    </cfRule>
    <cfRule type="expression" dxfId="1027" priority="793">
      <formula>S156=1</formula>
    </cfRule>
  </conditionalFormatting>
  <conditionalFormatting sqref="Q157">
    <cfRule type="expression" dxfId="1026" priority="790">
      <formula>T157=1</formula>
    </cfRule>
    <cfRule type="expression" dxfId="1025" priority="791">
      <formula>S157=1</formula>
    </cfRule>
  </conditionalFormatting>
  <conditionalFormatting sqref="V155">
    <cfRule type="expression" dxfId="1024" priority="788">
      <formula>Y155=1</formula>
    </cfRule>
    <cfRule type="expression" dxfId="1023" priority="789">
      <formula>X155=1</formula>
    </cfRule>
  </conditionalFormatting>
  <conditionalFormatting sqref="V156">
    <cfRule type="expression" dxfId="1022" priority="786">
      <formula>Y156=1</formula>
    </cfRule>
    <cfRule type="expression" dxfId="1021" priority="787">
      <formula>X156=1</formula>
    </cfRule>
  </conditionalFormatting>
  <conditionalFormatting sqref="V157">
    <cfRule type="expression" dxfId="1020" priority="784">
      <formula>Y157=1</formula>
    </cfRule>
    <cfRule type="expression" dxfId="1019" priority="785">
      <formula>X157=1</formula>
    </cfRule>
  </conditionalFormatting>
  <conditionalFormatting sqref="AA155">
    <cfRule type="expression" dxfId="1018" priority="782">
      <formula>AD155=1</formula>
    </cfRule>
    <cfRule type="expression" dxfId="1017" priority="783">
      <formula>AC155=1</formula>
    </cfRule>
  </conditionalFormatting>
  <conditionalFormatting sqref="AA156">
    <cfRule type="expression" dxfId="1016" priority="780">
      <formula>AD156=1</formula>
    </cfRule>
    <cfRule type="expression" dxfId="1015" priority="781">
      <formula>AC156=1</formula>
    </cfRule>
  </conditionalFormatting>
  <conditionalFormatting sqref="AA157">
    <cfRule type="expression" dxfId="1014" priority="778">
      <formula>AD157=1</formula>
    </cfRule>
    <cfRule type="expression" dxfId="1013" priority="779">
      <formula>AC157=1</formula>
    </cfRule>
  </conditionalFormatting>
  <conditionalFormatting sqref="AF155">
    <cfRule type="expression" dxfId="1012" priority="776">
      <formula>AI155=1</formula>
    </cfRule>
    <cfRule type="expression" dxfId="1011" priority="777">
      <formula>AH155=1</formula>
    </cfRule>
  </conditionalFormatting>
  <conditionalFormatting sqref="AF156">
    <cfRule type="expression" dxfId="1010" priority="774">
      <formula>AI156=1</formula>
    </cfRule>
    <cfRule type="expression" dxfId="1009" priority="775">
      <formula>AH156=1</formula>
    </cfRule>
  </conditionalFormatting>
  <conditionalFormatting sqref="AF157">
    <cfRule type="expression" dxfId="1008" priority="772">
      <formula>AI157=1</formula>
    </cfRule>
    <cfRule type="expression" dxfId="1007" priority="773">
      <formula>AH157=1</formula>
    </cfRule>
  </conditionalFormatting>
  <conditionalFormatting sqref="L160">
    <cfRule type="expression" dxfId="1006" priority="770">
      <formula>O160=1</formula>
    </cfRule>
    <cfRule type="expression" dxfId="1005" priority="771">
      <formula>N160=1</formula>
    </cfRule>
  </conditionalFormatting>
  <conditionalFormatting sqref="L161">
    <cfRule type="expression" dxfId="1004" priority="768">
      <formula>O161=1</formula>
    </cfRule>
    <cfRule type="expression" dxfId="1003" priority="769">
      <formula>N161=1</formula>
    </cfRule>
  </conditionalFormatting>
  <conditionalFormatting sqref="L162">
    <cfRule type="expression" dxfId="1002" priority="766">
      <formula>O162=1</formula>
    </cfRule>
    <cfRule type="expression" dxfId="1001" priority="767">
      <formula>N162=1</formula>
    </cfRule>
  </conditionalFormatting>
  <conditionalFormatting sqref="Q160">
    <cfRule type="expression" dxfId="1000" priority="764">
      <formula>T160=1</formula>
    </cfRule>
    <cfRule type="expression" dxfId="999" priority="765">
      <formula>S160=1</formula>
    </cfRule>
  </conditionalFormatting>
  <conditionalFormatting sqref="Q161">
    <cfRule type="expression" dxfId="998" priority="762">
      <formula>T161=1</formula>
    </cfRule>
    <cfRule type="expression" dxfId="997" priority="763">
      <formula>S161=1</formula>
    </cfRule>
  </conditionalFormatting>
  <conditionalFormatting sqref="Q162">
    <cfRule type="expression" dxfId="996" priority="760">
      <formula>T162=1</formula>
    </cfRule>
    <cfRule type="expression" dxfId="995" priority="761">
      <formula>S162=1</formula>
    </cfRule>
  </conditionalFormatting>
  <conditionalFormatting sqref="V160">
    <cfRule type="expression" dxfId="994" priority="758">
      <formula>Y160=1</formula>
    </cfRule>
    <cfRule type="expression" dxfId="993" priority="759">
      <formula>X160=1</formula>
    </cfRule>
  </conditionalFormatting>
  <conditionalFormatting sqref="V161">
    <cfRule type="expression" dxfId="992" priority="756">
      <formula>Y161=1</formula>
    </cfRule>
    <cfRule type="expression" dxfId="991" priority="757">
      <formula>X161=1</formula>
    </cfRule>
  </conditionalFormatting>
  <conditionalFormatting sqref="V162">
    <cfRule type="expression" dxfId="990" priority="754">
      <formula>Y162=1</formula>
    </cfRule>
    <cfRule type="expression" dxfId="989" priority="755">
      <formula>X162=1</formula>
    </cfRule>
  </conditionalFormatting>
  <conditionalFormatting sqref="AA160">
    <cfRule type="expression" dxfId="988" priority="752">
      <formula>AD160=1</formula>
    </cfRule>
    <cfRule type="expression" dxfId="987" priority="753">
      <formula>AC160=1</formula>
    </cfRule>
  </conditionalFormatting>
  <conditionalFormatting sqref="AA161">
    <cfRule type="expression" dxfId="986" priority="750">
      <formula>AD161=1</formula>
    </cfRule>
    <cfRule type="expression" dxfId="985" priority="751">
      <formula>AC161=1</formula>
    </cfRule>
  </conditionalFormatting>
  <conditionalFormatting sqref="AA162">
    <cfRule type="expression" dxfId="984" priority="748">
      <formula>AD162=1</formula>
    </cfRule>
    <cfRule type="expression" dxfId="983" priority="749">
      <formula>AC162=1</formula>
    </cfRule>
  </conditionalFormatting>
  <conditionalFormatting sqref="AF160">
    <cfRule type="expression" dxfId="982" priority="746">
      <formula>AI160=1</formula>
    </cfRule>
    <cfRule type="expression" dxfId="981" priority="747">
      <formula>AH160=1</formula>
    </cfRule>
  </conditionalFormatting>
  <conditionalFormatting sqref="AF161">
    <cfRule type="expression" dxfId="980" priority="744">
      <formula>AI161=1</formula>
    </cfRule>
    <cfRule type="expression" dxfId="979" priority="745">
      <formula>AH161=1</formula>
    </cfRule>
  </conditionalFormatting>
  <conditionalFormatting sqref="AF162">
    <cfRule type="expression" dxfId="978" priority="742">
      <formula>AI162=1</formula>
    </cfRule>
    <cfRule type="expression" dxfId="977" priority="743">
      <formula>AH162=1</formula>
    </cfRule>
  </conditionalFormatting>
  <conditionalFormatting sqref="L166">
    <cfRule type="expression" dxfId="976" priority="740">
      <formula>O166=1</formula>
    </cfRule>
    <cfRule type="expression" dxfId="975" priority="741">
      <formula>N166=1</formula>
    </cfRule>
  </conditionalFormatting>
  <conditionalFormatting sqref="L167">
    <cfRule type="expression" dxfId="974" priority="738">
      <formula>O167=1</formula>
    </cfRule>
    <cfRule type="expression" dxfId="973" priority="739">
      <formula>N167=1</formula>
    </cfRule>
  </conditionalFormatting>
  <conditionalFormatting sqref="L168">
    <cfRule type="expression" dxfId="972" priority="736">
      <formula>O168=1</formula>
    </cfRule>
    <cfRule type="expression" dxfId="971" priority="737">
      <formula>N168=1</formula>
    </cfRule>
  </conditionalFormatting>
  <conditionalFormatting sqref="L169">
    <cfRule type="expression" dxfId="970" priority="734">
      <formula>O169=1</formula>
    </cfRule>
    <cfRule type="expression" dxfId="969" priority="735">
      <formula>N169=1</formula>
    </cfRule>
  </conditionalFormatting>
  <conditionalFormatting sqref="Q166">
    <cfRule type="expression" dxfId="968" priority="674">
      <formula>T166=1</formula>
    </cfRule>
    <cfRule type="expression" dxfId="967" priority="675">
      <formula>S166=1</formula>
    </cfRule>
  </conditionalFormatting>
  <conditionalFormatting sqref="Q167">
    <cfRule type="expression" dxfId="966" priority="672">
      <formula>T167=1</formula>
    </cfRule>
    <cfRule type="expression" dxfId="965" priority="673">
      <formula>S167=1</formula>
    </cfRule>
  </conditionalFormatting>
  <conditionalFormatting sqref="Q168">
    <cfRule type="expression" dxfId="964" priority="670">
      <formula>T168=1</formula>
    </cfRule>
    <cfRule type="expression" dxfId="963" priority="671">
      <formula>S168=1</formula>
    </cfRule>
  </conditionalFormatting>
  <conditionalFormatting sqref="Q169">
    <cfRule type="expression" dxfId="962" priority="668">
      <formula>T169=1</formula>
    </cfRule>
    <cfRule type="expression" dxfId="961" priority="669">
      <formula>S169=1</formula>
    </cfRule>
  </conditionalFormatting>
  <conditionalFormatting sqref="V166">
    <cfRule type="expression" dxfId="960" priority="666">
      <formula>Y166=1</formula>
    </cfRule>
    <cfRule type="expression" dxfId="959" priority="667">
      <formula>X166=1</formula>
    </cfRule>
  </conditionalFormatting>
  <conditionalFormatting sqref="V167">
    <cfRule type="expression" dxfId="958" priority="664">
      <formula>Y167=1</formula>
    </cfRule>
    <cfRule type="expression" dxfId="957" priority="665">
      <formula>X167=1</formula>
    </cfRule>
  </conditionalFormatting>
  <conditionalFormatting sqref="V168">
    <cfRule type="expression" dxfId="956" priority="662">
      <formula>Y168=1</formula>
    </cfRule>
    <cfRule type="expression" dxfId="955" priority="663">
      <formula>X168=1</formula>
    </cfRule>
  </conditionalFormatting>
  <conditionalFormatting sqref="V169">
    <cfRule type="expression" dxfId="954" priority="660">
      <formula>Y169=1</formula>
    </cfRule>
    <cfRule type="expression" dxfId="953" priority="661">
      <formula>X169=1</formula>
    </cfRule>
  </conditionalFormatting>
  <conditionalFormatting sqref="AA166">
    <cfRule type="expression" dxfId="952" priority="658">
      <formula>AD166=1</formula>
    </cfRule>
    <cfRule type="expression" dxfId="951" priority="659">
      <formula>AC166=1</formula>
    </cfRule>
  </conditionalFormatting>
  <conditionalFormatting sqref="AA167">
    <cfRule type="expression" dxfId="950" priority="656">
      <formula>AD167=1</formula>
    </cfRule>
    <cfRule type="expression" dxfId="949" priority="657">
      <formula>AC167=1</formula>
    </cfRule>
  </conditionalFormatting>
  <conditionalFormatting sqref="AA168">
    <cfRule type="expression" dxfId="948" priority="654">
      <formula>AD168=1</formula>
    </cfRule>
    <cfRule type="expression" dxfId="947" priority="655">
      <formula>AC168=1</formula>
    </cfRule>
  </conditionalFormatting>
  <conditionalFormatting sqref="AA169">
    <cfRule type="expression" dxfId="946" priority="652">
      <formula>AD169=1</formula>
    </cfRule>
    <cfRule type="expression" dxfId="945" priority="653">
      <formula>AC169=1</formula>
    </cfRule>
  </conditionalFormatting>
  <conditionalFormatting sqref="AF166">
    <cfRule type="expression" dxfId="944" priority="650">
      <formula>AI166=1</formula>
    </cfRule>
    <cfRule type="expression" dxfId="943" priority="651">
      <formula>AH166=1</formula>
    </cfRule>
  </conditionalFormatting>
  <conditionalFormatting sqref="AF167">
    <cfRule type="expression" dxfId="942" priority="648">
      <formula>AI167=1</formula>
    </cfRule>
    <cfRule type="expression" dxfId="941" priority="649">
      <formula>AH167=1</formula>
    </cfRule>
  </conditionalFormatting>
  <conditionalFormatting sqref="AF168">
    <cfRule type="expression" dxfId="940" priority="646">
      <formula>AI168=1</formula>
    </cfRule>
    <cfRule type="expression" dxfId="939" priority="647">
      <formula>AH168=1</formula>
    </cfRule>
  </conditionalFormatting>
  <conditionalFormatting sqref="AF169">
    <cfRule type="expression" dxfId="938" priority="644">
      <formula>AI169=1</formula>
    </cfRule>
    <cfRule type="expression" dxfId="937" priority="645">
      <formula>AH169=1</formula>
    </cfRule>
  </conditionalFormatting>
  <conditionalFormatting sqref="L171">
    <cfRule type="expression" dxfId="936" priority="642">
      <formula>O171=1</formula>
    </cfRule>
    <cfRule type="expression" dxfId="935" priority="643">
      <formula>N171=1</formula>
    </cfRule>
  </conditionalFormatting>
  <conditionalFormatting sqref="L172">
    <cfRule type="expression" dxfId="934" priority="640">
      <formula>O172=1</formula>
    </cfRule>
    <cfRule type="expression" dxfId="933" priority="641">
      <formula>N172=1</formula>
    </cfRule>
  </conditionalFormatting>
  <conditionalFormatting sqref="L173">
    <cfRule type="expression" dxfId="932" priority="638">
      <formula>O173=1</formula>
    </cfRule>
    <cfRule type="expression" dxfId="931" priority="639">
      <formula>N173=1</formula>
    </cfRule>
  </conditionalFormatting>
  <conditionalFormatting sqref="L174">
    <cfRule type="expression" dxfId="930" priority="636">
      <formula>O174=1</formula>
    </cfRule>
    <cfRule type="expression" dxfId="929" priority="637">
      <formula>N174=1</formula>
    </cfRule>
  </conditionalFormatting>
  <conditionalFormatting sqref="L175">
    <cfRule type="expression" dxfId="928" priority="359">
      <formula>O175=1</formula>
    </cfRule>
  </conditionalFormatting>
  <conditionalFormatting sqref="L176">
    <cfRule type="expression" dxfId="927" priority="632">
      <formula>O176=1</formula>
    </cfRule>
    <cfRule type="expression" dxfId="926" priority="633">
      <formula>N176=1</formula>
    </cfRule>
  </conditionalFormatting>
  <conditionalFormatting sqref="L177">
    <cfRule type="expression" dxfId="925" priority="630">
      <formula>O177=1</formula>
    </cfRule>
    <cfRule type="expression" dxfId="924" priority="631">
      <formula>N177=1</formula>
    </cfRule>
  </conditionalFormatting>
  <conditionalFormatting sqref="L178">
    <cfRule type="expression" dxfId="923" priority="628">
      <formula>O178=1</formula>
    </cfRule>
    <cfRule type="expression" dxfId="922" priority="629">
      <formula>N178=1</formula>
    </cfRule>
  </conditionalFormatting>
  <conditionalFormatting sqref="L179">
    <cfRule type="expression" dxfId="921" priority="17">
      <formula>AND(O179=1,P179=1)</formula>
    </cfRule>
    <cfRule type="expression" dxfId="920" priority="18">
      <formula>P179=1</formula>
    </cfRule>
    <cfRule type="expression" dxfId="919" priority="626">
      <formula>O179=1</formula>
    </cfRule>
    <cfRule type="expression" dxfId="918" priority="627">
      <formula>N179=1</formula>
    </cfRule>
  </conditionalFormatting>
  <conditionalFormatting sqref="L180">
    <cfRule type="expression" dxfId="917" priority="624">
      <formula>O180=1</formula>
    </cfRule>
    <cfRule type="expression" dxfId="916" priority="625">
      <formula>N180=1</formula>
    </cfRule>
  </conditionalFormatting>
  <conditionalFormatting sqref="Q171">
    <cfRule type="expression" dxfId="915" priority="622">
      <formula>T171=1</formula>
    </cfRule>
    <cfRule type="expression" dxfId="914" priority="623">
      <formula>S171=1</formula>
    </cfRule>
  </conditionalFormatting>
  <conditionalFormatting sqref="Q172">
    <cfRule type="expression" dxfId="913" priority="620">
      <formula>T172=1</formula>
    </cfRule>
    <cfRule type="expression" dxfId="912" priority="621">
      <formula>S172=1</formula>
    </cfRule>
  </conditionalFormatting>
  <conditionalFormatting sqref="Q173">
    <cfRule type="expression" dxfId="911" priority="618">
      <formula>T173=1</formula>
    </cfRule>
    <cfRule type="expression" dxfId="910" priority="619">
      <formula>S173=1</formula>
    </cfRule>
  </conditionalFormatting>
  <conditionalFormatting sqref="Q174">
    <cfRule type="expression" dxfId="909" priority="616">
      <formula>T174=1</formula>
    </cfRule>
    <cfRule type="expression" dxfId="908" priority="617">
      <formula>S174=1</formula>
    </cfRule>
  </conditionalFormatting>
  <conditionalFormatting sqref="Q175">
    <cfRule type="expression" dxfId="907" priority="614">
      <formula>T175=1</formula>
    </cfRule>
    <cfRule type="expression" dxfId="906" priority="615">
      <formula>S175=1</formula>
    </cfRule>
  </conditionalFormatting>
  <conditionalFormatting sqref="Q177">
    <cfRule type="expression" dxfId="905" priority="612">
      <formula>T177=1</formula>
    </cfRule>
    <cfRule type="expression" dxfId="904" priority="613">
      <formula>S177=1</formula>
    </cfRule>
  </conditionalFormatting>
  <conditionalFormatting sqref="Q176">
    <cfRule type="expression" dxfId="903" priority="610">
      <formula>T176=1</formula>
    </cfRule>
    <cfRule type="expression" dxfId="902" priority="611">
      <formula>S176=1</formula>
    </cfRule>
  </conditionalFormatting>
  <conditionalFormatting sqref="Q178">
    <cfRule type="expression" dxfId="901" priority="608">
      <formula>T178=1</formula>
    </cfRule>
    <cfRule type="expression" dxfId="900" priority="609">
      <formula>S178=1</formula>
    </cfRule>
  </conditionalFormatting>
  <conditionalFormatting sqref="Q180">
    <cfRule type="expression" dxfId="899" priority="604">
      <formula>T180=1</formula>
    </cfRule>
    <cfRule type="expression" dxfId="898" priority="605">
      <formula>S180=1</formula>
    </cfRule>
  </conditionalFormatting>
  <conditionalFormatting sqref="V171">
    <cfRule type="expression" dxfId="897" priority="598">
      <formula>Y171=1</formula>
    </cfRule>
    <cfRule type="expression" dxfId="896" priority="599">
      <formula>X171=1</formula>
    </cfRule>
  </conditionalFormatting>
  <conditionalFormatting sqref="V172">
    <cfRule type="expression" dxfId="895" priority="596">
      <formula>Y172=1</formula>
    </cfRule>
    <cfRule type="expression" dxfId="894" priority="597">
      <formula>X172=1</formula>
    </cfRule>
  </conditionalFormatting>
  <conditionalFormatting sqref="V173">
    <cfRule type="expression" dxfId="893" priority="594">
      <formula>Y173=1</formula>
    </cfRule>
    <cfRule type="expression" dxfId="892" priority="595">
      <formula>X173=1</formula>
    </cfRule>
  </conditionalFormatting>
  <conditionalFormatting sqref="V174">
    <cfRule type="expression" dxfId="891" priority="592">
      <formula>Y174=1</formula>
    </cfRule>
    <cfRule type="expression" dxfId="890" priority="593">
      <formula>X174=1</formula>
    </cfRule>
  </conditionalFormatting>
  <conditionalFormatting sqref="V175">
    <cfRule type="expression" dxfId="889" priority="590">
      <formula>Y175=1</formula>
    </cfRule>
    <cfRule type="expression" dxfId="888" priority="591">
      <formula>X175=1</formula>
    </cfRule>
  </conditionalFormatting>
  <conditionalFormatting sqref="V176">
    <cfRule type="expression" dxfId="887" priority="588">
      <formula>Y176=1</formula>
    </cfRule>
    <cfRule type="expression" dxfId="886" priority="589">
      <formula>X176=1</formula>
    </cfRule>
  </conditionalFormatting>
  <conditionalFormatting sqref="V177">
    <cfRule type="expression" dxfId="885" priority="586">
      <formula>Y177=1</formula>
    </cfRule>
    <cfRule type="expression" dxfId="884" priority="587">
      <formula>X177=1</formula>
    </cfRule>
  </conditionalFormatting>
  <conditionalFormatting sqref="V178">
    <cfRule type="expression" dxfId="883" priority="584">
      <formula>Y178=1</formula>
    </cfRule>
    <cfRule type="expression" dxfId="882" priority="585">
      <formula>X178=1</formula>
    </cfRule>
  </conditionalFormatting>
  <conditionalFormatting sqref="V180">
    <cfRule type="expression" dxfId="881" priority="580">
      <formula>Y180=1</formula>
    </cfRule>
    <cfRule type="expression" dxfId="880" priority="581">
      <formula>X180=1</formula>
    </cfRule>
  </conditionalFormatting>
  <conditionalFormatting sqref="AA171">
    <cfRule type="expression" dxfId="879" priority="578">
      <formula>AD171=1</formula>
    </cfRule>
    <cfRule type="expression" dxfId="878" priority="579">
      <formula>AC171=1</formula>
    </cfRule>
  </conditionalFormatting>
  <conditionalFormatting sqref="AA172">
    <cfRule type="expression" dxfId="877" priority="576">
      <formula>AD172=1</formula>
    </cfRule>
    <cfRule type="expression" dxfId="876" priority="577">
      <formula>AC172=1</formula>
    </cfRule>
  </conditionalFormatting>
  <conditionalFormatting sqref="AA173">
    <cfRule type="expression" dxfId="875" priority="574">
      <formula>AD173=1</formula>
    </cfRule>
    <cfRule type="expression" dxfId="874" priority="575">
      <formula>AC173=1</formula>
    </cfRule>
  </conditionalFormatting>
  <conditionalFormatting sqref="AA174">
    <cfRule type="expression" dxfId="873" priority="572">
      <formula>AD174=1</formula>
    </cfRule>
    <cfRule type="expression" dxfId="872" priority="573">
      <formula>AC174=1</formula>
    </cfRule>
  </conditionalFormatting>
  <conditionalFormatting sqref="AA175">
    <cfRule type="expression" dxfId="871" priority="570">
      <formula>AD175=1</formula>
    </cfRule>
    <cfRule type="expression" dxfId="870" priority="571">
      <formula>AC175=1</formula>
    </cfRule>
  </conditionalFormatting>
  <conditionalFormatting sqref="AA176">
    <cfRule type="expression" dxfId="869" priority="568">
      <formula>AD176=1</formula>
    </cfRule>
    <cfRule type="expression" dxfId="868" priority="569">
      <formula>AC176=1</formula>
    </cfRule>
  </conditionalFormatting>
  <conditionalFormatting sqref="AA177">
    <cfRule type="expression" dxfId="867" priority="566">
      <formula>AD177=1</formula>
    </cfRule>
    <cfRule type="expression" dxfId="866" priority="567">
      <formula>AC177=1</formula>
    </cfRule>
  </conditionalFormatting>
  <conditionalFormatting sqref="AA178">
    <cfRule type="expression" dxfId="865" priority="564">
      <formula>AD178=1</formula>
    </cfRule>
    <cfRule type="expression" dxfId="864" priority="565">
      <formula>AC178=1</formula>
    </cfRule>
  </conditionalFormatting>
  <conditionalFormatting sqref="AA180">
    <cfRule type="expression" dxfId="863" priority="560">
      <formula>AD180=1</formula>
    </cfRule>
    <cfRule type="expression" dxfId="862" priority="561">
      <formula>AC180=1</formula>
    </cfRule>
  </conditionalFormatting>
  <conditionalFormatting sqref="AF171">
    <cfRule type="expression" dxfId="861" priority="558">
      <formula>AI171=1</formula>
    </cfRule>
    <cfRule type="expression" dxfId="860" priority="559">
      <formula>AH171=1</formula>
    </cfRule>
  </conditionalFormatting>
  <conditionalFormatting sqref="AF172">
    <cfRule type="expression" dxfId="859" priority="556">
      <formula>AI172=1</formula>
    </cfRule>
    <cfRule type="expression" dxfId="858" priority="557">
      <formula>AH172=1</formula>
    </cfRule>
  </conditionalFormatting>
  <conditionalFormatting sqref="AF173">
    <cfRule type="expression" dxfId="857" priority="554">
      <formula>AI173=1</formula>
    </cfRule>
    <cfRule type="expression" dxfId="856" priority="555">
      <formula>AH173=1</formula>
    </cfRule>
  </conditionalFormatting>
  <conditionalFormatting sqref="AF174">
    <cfRule type="expression" dxfId="855" priority="552">
      <formula>AI174=1</formula>
    </cfRule>
    <cfRule type="expression" dxfId="854" priority="553">
      <formula>AH174=1</formula>
    </cfRule>
  </conditionalFormatting>
  <conditionalFormatting sqref="AF175">
    <cfRule type="expression" dxfId="853" priority="548">
      <formula>AI175=1</formula>
    </cfRule>
    <cfRule type="expression" dxfId="852" priority="549">
      <formula>AH175=1</formula>
    </cfRule>
  </conditionalFormatting>
  <conditionalFormatting sqref="AF176">
    <cfRule type="expression" dxfId="851" priority="546">
      <formula>AI176=1</formula>
    </cfRule>
    <cfRule type="expression" dxfId="850" priority="547">
      <formula>AH176=1</formula>
    </cfRule>
  </conditionalFormatting>
  <conditionalFormatting sqref="AF177">
    <cfRule type="expression" dxfId="849" priority="544">
      <formula>AI177=1</formula>
    </cfRule>
    <cfRule type="expression" dxfId="848" priority="545">
      <formula>AH177=1</formula>
    </cfRule>
  </conditionalFormatting>
  <conditionalFormatting sqref="AF178">
    <cfRule type="expression" dxfId="847" priority="542">
      <formula>AI178=1</formula>
    </cfRule>
    <cfRule type="expression" dxfId="846" priority="543">
      <formula>AH178=1</formula>
    </cfRule>
  </conditionalFormatting>
  <conditionalFormatting sqref="AF180">
    <cfRule type="expression" dxfId="845" priority="538">
      <formula>AI180=1</formula>
    </cfRule>
    <cfRule type="expression" dxfId="844" priority="539">
      <formula>AH180=1</formula>
    </cfRule>
  </conditionalFormatting>
  <conditionalFormatting sqref="L182">
    <cfRule type="expression" dxfId="843" priority="536">
      <formula>O182=1</formula>
    </cfRule>
    <cfRule type="expression" dxfId="842" priority="537">
      <formula>N182=1</formula>
    </cfRule>
  </conditionalFormatting>
  <conditionalFormatting sqref="Q182">
    <cfRule type="expression" dxfId="841" priority="534">
      <formula>T182=1</formula>
    </cfRule>
    <cfRule type="expression" dxfId="840" priority="535">
      <formula>S182=1</formula>
    </cfRule>
  </conditionalFormatting>
  <conditionalFormatting sqref="V182">
    <cfRule type="expression" dxfId="839" priority="532">
      <formula>Y182=1</formula>
    </cfRule>
    <cfRule type="expression" dxfId="838" priority="533">
      <formula>X182=1</formula>
    </cfRule>
  </conditionalFormatting>
  <conditionalFormatting sqref="AA182">
    <cfRule type="expression" dxfId="837" priority="530">
      <formula>AD182=1</formula>
    </cfRule>
    <cfRule type="expression" dxfId="836" priority="531">
      <formula>AC182=1</formula>
    </cfRule>
  </conditionalFormatting>
  <conditionalFormatting sqref="AF182">
    <cfRule type="expression" dxfId="835" priority="528">
      <formula>AI182=1</formula>
    </cfRule>
    <cfRule type="expression" dxfId="834" priority="529">
      <formula>AH182=1</formula>
    </cfRule>
  </conditionalFormatting>
  <conditionalFormatting sqref="AA183">
    <cfRule type="expression" dxfId="833" priority="476">
      <formula>AND(AD183=1,AE183=1)</formula>
    </cfRule>
    <cfRule type="expression" dxfId="832" priority="478">
      <formula>AD183=1</formula>
    </cfRule>
    <cfRule type="expression" dxfId="831" priority="479">
      <formula>AC183=1</formula>
    </cfRule>
  </conditionalFormatting>
  <conditionalFormatting sqref="AA183">
    <cfRule type="expression" dxfId="830" priority="477">
      <formula>AE183=1</formula>
    </cfRule>
  </conditionalFormatting>
  <conditionalFormatting sqref="AA184">
    <cfRule type="expression" dxfId="829" priority="472">
      <formula>AND(AD184=1,AE184=1)</formula>
    </cfRule>
    <cfRule type="expression" dxfId="828" priority="474">
      <formula>AD184=1</formula>
    </cfRule>
    <cfRule type="expression" dxfId="827" priority="475">
      <formula>AC184=1</formula>
    </cfRule>
  </conditionalFormatting>
  <conditionalFormatting sqref="AA184">
    <cfRule type="expression" dxfId="826" priority="473">
      <formula>AE184=1</formula>
    </cfRule>
  </conditionalFormatting>
  <conditionalFormatting sqref="AA185">
    <cfRule type="expression" dxfId="825" priority="468">
      <formula>AND(AD185=1,AE185=1)</formula>
    </cfRule>
    <cfRule type="expression" dxfId="824" priority="470">
      <formula>AD185=1</formula>
    </cfRule>
    <cfRule type="expression" dxfId="823" priority="471">
      <formula>AC185=1</formula>
    </cfRule>
  </conditionalFormatting>
  <conditionalFormatting sqref="AA185">
    <cfRule type="expression" dxfId="822" priority="469">
      <formula>AE185=1</formula>
    </cfRule>
  </conditionalFormatting>
  <conditionalFormatting sqref="AA186">
    <cfRule type="expression" dxfId="821" priority="464">
      <formula>AND(AD186=1,AE186=1)</formula>
    </cfRule>
    <cfRule type="expression" dxfId="820" priority="466">
      <formula>AD186=1</formula>
    </cfRule>
    <cfRule type="expression" dxfId="819" priority="467">
      <formula>AC186=1</formula>
    </cfRule>
  </conditionalFormatting>
  <conditionalFormatting sqref="AA186">
    <cfRule type="expression" dxfId="818" priority="465">
      <formula>AE186=1</formula>
    </cfRule>
  </conditionalFormatting>
  <conditionalFormatting sqref="AF183">
    <cfRule type="expression" dxfId="817" priority="460">
      <formula>AND(AI183=1,AJ183=1)</formula>
    </cfRule>
    <cfRule type="expression" dxfId="816" priority="462">
      <formula>AI183=1</formula>
    </cfRule>
    <cfRule type="expression" dxfId="815" priority="463">
      <formula>AH183=1</formula>
    </cfRule>
  </conditionalFormatting>
  <conditionalFormatting sqref="AF183">
    <cfRule type="expression" dxfId="814" priority="461">
      <formula>AJ183=1</formula>
    </cfRule>
  </conditionalFormatting>
  <conditionalFormatting sqref="AF184">
    <cfRule type="expression" dxfId="813" priority="456">
      <formula>AND(AI184=1,AJ184=1)</formula>
    </cfRule>
    <cfRule type="expression" dxfId="812" priority="458">
      <formula>AI184=1</formula>
    </cfRule>
    <cfRule type="expression" dxfId="811" priority="459">
      <formula>AH184=1</formula>
    </cfRule>
  </conditionalFormatting>
  <conditionalFormatting sqref="AF184">
    <cfRule type="expression" dxfId="810" priority="457">
      <formula>AJ184=1</formula>
    </cfRule>
  </conditionalFormatting>
  <conditionalFormatting sqref="AF185">
    <cfRule type="expression" dxfId="809" priority="452">
      <formula>AND(AI185=1,AJ185=1)</formula>
    </cfRule>
    <cfRule type="expression" dxfId="808" priority="454">
      <formula>AI185=1</formula>
    </cfRule>
    <cfRule type="expression" dxfId="807" priority="455">
      <formula>AH185=1</formula>
    </cfRule>
  </conditionalFormatting>
  <conditionalFormatting sqref="AF185">
    <cfRule type="expression" dxfId="806" priority="453">
      <formula>AJ185=1</formula>
    </cfRule>
  </conditionalFormatting>
  <conditionalFormatting sqref="AF186">
    <cfRule type="expression" dxfId="805" priority="448">
      <formula>AND(AI186=1,AJ186=1)</formula>
    </cfRule>
    <cfRule type="expression" dxfId="804" priority="450">
      <formula>AI186=1</formula>
    </cfRule>
    <cfRule type="expression" dxfId="803" priority="451">
      <formula>AH186=1</formula>
    </cfRule>
  </conditionalFormatting>
  <conditionalFormatting sqref="AF186">
    <cfRule type="expression" dxfId="802" priority="449">
      <formula>AJ186=1</formula>
    </cfRule>
  </conditionalFormatting>
  <conditionalFormatting sqref="V183">
    <cfRule type="expression" dxfId="801" priority="444">
      <formula>AND(Y183=1,Z183=1)</formula>
    </cfRule>
    <cfRule type="expression" dxfId="800" priority="446">
      <formula>Y183=1</formula>
    </cfRule>
    <cfRule type="expression" dxfId="799" priority="447">
      <formula>X183=1</formula>
    </cfRule>
  </conditionalFormatting>
  <conditionalFormatting sqref="V183">
    <cfRule type="expression" dxfId="798" priority="445">
      <formula>Z183=1</formula>
    </cfRule>
  </conditionalFormatting>
  <conditionalFormatting sqref="V184">
    <cfRule type="expression" dxfId="797" priority="440">
      <formula>AND(Y184=1,Z184=1)</formula>
    </cfRule>
    <cfRule type="expression" dxfId="796" priority="442">
      <formula>Y184=1</formula>
    </cfRule>
    <cfRule type="expression" dxfId="795" priority="443">
      <formula>X184=1</formula>
    </cfRule>
  </conditionalFormatting>
  <conditionalFormatting sqref="V184">
    <cfRule type="expression" dxfId="794" priority="441">
      <formula>Z184=1</formula>
    </cfRule>
  </conditionalFormatting>
  <conditionalFormatting sqref="V185">
    <cfRule type="expression" dxfId="793" priority="436">
      <formula>AND(Y185=1,Z185=1)</formula>
    </cfRule>
    <cfRule type="expression" dxfId="792" priority="438">
      <formula>Y185=1</formula>
    </cfRule>
    <cfRule type="expression" dxfId="791" priority="439">
      <formula>X185=1</formula>
    </cfRule>
  </conditionalFormatting>
  <conditionalFormatting sqref="V185">
    <cfRule type="expression" dxfId="790" priority="437">
      <formula>Z185=1</formula>
    </cfRule>
  </conditionalFormatting>
  <conditionalFormatting sqref="V186">
    <cfRule type="expression" dxfId="789" priority="432">
      <formula>AND(Y186=1,Z186=1)</formula>
    </cfRule>
    <cfRule type="expression" dxfId="788" priority="434">
      <formula>Y186=1</formula>
    </cfRule>
    <cfRule type="expression" dxfId="787" priority="435">
      <formula>X186=1</formula>
    </cfRule>
  </conditionalFormatting>
  <conditionalFormatting sqref="V186">
    <cfRule type="expression" dxfId="786" priority="433">
      <formula>Z186=1</formula>
    </cfRule>
  </conditionalFormatting>
  <conditionalFormatting sqref="Q183">
    <cfRule type="expression" dxfId="785" priority="428">
      <formula>AND(T183=1,U183=1)</formula>
    </cfRule>
    <cfRule type="expression" dxfId="784" priority="430">
      <formula>T183=1</formula>
    </cfRule>
    <cfRule type="expression" dxfId="783" priority="431">
      <formula>S183=1</formula>
    </cfRule>
  </conditionalFormatting>
  <conditionalFormatting sqref="Q183">
    <cfRule type="expression" dxfId="782" priority="429">
      <formula>U183=1</formula>
    </cfRule>
  </conditionalFormatting>
  <conditionalFormatting sqref="Q184">
    <cfRule type="expression" dxfId="781" priority="424">
      <formula>AND(T184=1,U184=1)</formula>
    </cfRule>
    <cfRule type="expression" dxfId="780" priority="426">
      <formula>T184=1</formula>
    </cfRule>
    <cfRule type="expression" dxfId="779" priority="427">
      <formula>S184=1</formula>
    </cfRule>
  </conditionalFormatting>
  <conditionalFormatting sqref="Q184">
    <cfRule type="expression" dxfId="778" priority="425">
      <formula>U184=1</formula>
    </cfRule>
  </conditionalFormatting>
  <conditionalFormatting sqref="Q185">
    <cfRule type="expression" dxfId="777" priority="420">
      <formula>AND(T185=1,U185=1)</formula>
    </cfRule>
    <cfRule type="expression" dxfId="776" priority="422">
      <formula>T185=1</formula>
    </cfRule>
    <cfRule type="expression" dxfId="775" priority="423">
      <formula>S185=1</formula>
    </cfRule>
  </conditionalFormatting>
  <conditionalFormatting sqref="Q185">
    <cfRule type="expression" dxfId="774" priority="421">
      <formula>U185=1</formula>
    </cfRule>
  </conditionalFormatting>
  <conditionalFormatting sqref="Q186">
    <cfRule type="expression" dxfId="773" priority="416">
      <formula>AND(T186=1,U186=1)</formula>
    </cfRule>
    <cfRule type="expression" dxfId="772" priority="418">
      <formula>T186=1</formula>
    </cfRule>
    <cfRule type="expression" dxfId="771" priority="419">
      <formula>S186=1</formula>
    </cfRule>
  </conditionalFormatting>
  <conditionalFormatting sqref="Q186">
    <cfRule type="expression" dxfId="770" priority="417">
      <formula>U186=1</formula>
    </cfRule>
  </conditionalFormatting>
  <conditionalFormatting sqref="L183">
    <cfRule type="expression" dxfId="769" priority="412">
      <formula>AND(O183=1,P183=1)</formula>
    </cfRule>
    <cfRule type="expression" dxfId="768" priority="414">
      <formula>O183=1</formula>
    </cfRule>
    <cfRule type="expression" dxfId="767" priority="415">
      <formula>N183=1</formula>
    </cfRule>
  </conditionalFormatting>
  <conditionalFormatting sqref="L183">
    <cfRule type="expression" dxfId="766" priority="413">
      <formula>P183=1</formula>
    </cfRule>
  </conditionalFormatting>
  <conditionalFormatting sqref="L184">
    <cfRule type="expression" dxfId="765" priority="408">
      <formula>AND(O184=1,P184=1)</formula>
    </cfRule>
    <cfRule type="expression" dxfId="764" priority="410">
      <formula>O184=1</formula>
    </cfRule>
    <cfRule type="expression" dxfId="763" priority="411">
      <formula>N184=1</formula>
    </cfRule>
  </conditionalFormatting>
  <conditionalFormatting sqref="L184">
    <cfRule type="expression" dxfId="762" priority="409">
      <formula>P184=1</formula>
    </cfRule>
  </conditionalFormatting>
  <conditionalFormatting sqref="L185">
    <cfRule type="expression" dxfId="761" priority="404">
      <formula>AND(O185=1,P185=1)</formula>
    </cfRule>
    <cfRule type="expression" dxfId="760" priority="406">
      <formula>O185=1</formula>
    </cfRule>
    <cfRule type="expression" dxfId="759" priority="407">
      <formula>N185=1</formula>
    </cfRule>
  </conditionalFormatting>
  <conditionalFormatting sqref="L185">
    <cfRule type="expression" dxfId="758" priority="405">
      <formula>P185=1</formula>
    </cfRule>
  </conditionalFormatting>
  <conditionalFormatting sqref="L186">
    <cfRule type="expression" dxfId="757" priority="400">
      <formula>AND(O186=1,P186=1)</formula>
    </cfRule>
    <cfRule type="expression" dxfId="756" priority="402">
      <formula>O186=1</formula>
    </cfRule>
    <cfRule type="expression" dxfId="755" priority="403">
      <formula>N186=1</formula>
    </cfRule>
  </conditionalFormatting>
  <conditionalFormatting sqref="L186">
    <cfRule type="expression" dxfId="754" priority="401">
      <formula>P186=1</formula>
    </cfRule>
  </conditionalFormatting>
  <conditionalFormatting sqref="L187">
    <cfRule type="expression" dxfId="753" priority="398">
      <formula>O187=1</formula>
    </cfRule>
    <cfRule type="expression" dxfId="752" priority="399">
      <formula>N187=1</formula>
    </cfRule>
  </conditionalFormatting>
  <conditionalFormatting sqref="L188">
    <cfRule type="expression" dxfId="751" priority="396">
      <formula>O188=1</formula>
    </cfRule>
    <cfRule type="expression" dxfId="750" priority="397">
      <formula>N188=1</formula>
    </cfRule>
  </conditionalFormatting>
  <conditionalFormatting sqref="L189">
    <cfRule type="expression" dxfId="749" priority="394">
      <formula>O189=1</formula>
    </cfRule>
    <cfRule type="expression" dxfId="748" priority="395">
      <formula>N189=1</formula>
    </cfRule>
  </conditionalFormatting>
  <conditionalFormatting sqref="L190">
    <cfRule type="expression" dxfId="747" priority="392">
      <formula>O190=1</formula>
    </cfRule>
    <cfRule type="expression" dxfId="746" priority="393">
      <formula>N190=1</formula>
    </cfRule>
  </conditionalFormatting>
  <conditionalFormatting sqref="Q187">
    <cfRule type="expression" dxfId="745" priority="390">
      <formula>T187=1</formula>
    </cfRule>
    <cfRule type="expression" dxfId="744" priority="391">
      <formula>S187=1</formula>
    </cfRule>
  </conditionalFormatting>
  <conditionalFormatting sqref="Q188">
    <cfRule type="expression" dxfId="743" priority="388">
      <formula>T188=1</formula>
    </cfRule>
    <cfRule type="expression" dxfId="742" priority="389">
      <formula>S188=1</formula>
    </cfRule>
  </conditionalFormatting>
  <conditionalFormatting sqref="Q189">
    <cfRule type="expression" dxfId="741" priority="386">
      <formula>T189=1</formula>
    </cfRule>
    <cfRule type="expression" dxfId="740" priority="387">
      <formula>S189=1</formula>
    </cfRule>
  </conditionalFormatting>
  <conditionalFormatting sqref="Q190">
    <cfRule type="expression" dxfId="739" priority="384">
      <formula>T190=1</formula>
    </cfRule>
    <cfRule type="expression" dxfId="738" priority="385">
      <formula>S190=1</formula>
    </cfRule>
  </conditionalFormatting>
  <conditionalFormatting sqref="V187">
    <cfRule type="expression" dxfId="737" priority="382">
      <formula>Y187=1</formula>
    </cfRule>
    <cfRule type="expression" dxfId="736" priority="383">
      <formula>X187=1</formula>
    </cfRule>
  </conditionalFormatting>
  <conditionalFormatting sqref="V188">
    <cfRule type="expression" dxfId="735" priority="380">
      <formula>Y188=1</formula>
    </cfRule>
    <cfRule type="expression" dxfId="734" priority="381">
      <formula>X188=1</formula>
    </cfRule>
  </conditionalFormatting>
  <conditionalFormatting sqref="V189">
    <cfRule type="expression" dxfId="733" priority="378">
      <formula>Y189=1</formula>
    </cfRule>
    <cfRule type="expression" dxfId="732" priority="379">
      <formula>X189=1</formula>
    </cfRule>
  </conditionalFormatting>
  <conditionalFormatting sqref="V190">
    <cfRule type="expression" dxfId="731" priority="376">
      <formula>Y190=1</formula>
    </cfRule>
    <cfRule type="expression" dxfId="730" priority="377">
      <formula>X190=1</formula>
    </cfRule>
  </conditionalFormatting>
  <conditionalFormatting sqref="AA187">
    <cfRule type="expression" dxfId="729" priority="374">
      <formula>AD187=1</formula>
    </cfRule>
    <cfRule type="expression" dxfId="728" priority="375">
      <formula>AC187=1</formula>
    </cfRule>
  </conditionalFormatting>
  <conditionalFormatting sqref="AA188">
    <cfRule type="expression" dxfId="727" priority="372">
      <formula>AD188=1</formula>
    </cfRule>
    <cfRule type="expression" dxfId="726" priority="373">
      <formula>AC188=1</formula>
    </cfRule>
  </conditionalFormatting>
  <conditionalFormatting sqref="AA189">
    <cfRule type="expression" dxfId="725" priority="370">
      <formula>AD189=1</formula>
    </cfRule>
    <cfRule type="expression" dxfId="724" priority="371">
      <formula>AC189=1</formula>
    </cfRule>
  </conditionalFormatting>
  <conditionalFormatting sqref="AA190">
    <cfRule type="expression" dxfId="723" priority="368">
      <formula>AD190=1</formula>
    </cfRule>
    <cfRule type="expression" dxfId="722" priority="369">
      <formula>AC190=1</formula>
    </cfRule>
  </conditionalFormatting>
  <conditionalFormatting sqref="AF187">
    <cfRule type="expression" dxfId="721" priority="366">
      <formula>AI187=1</formula>
    </cfRule>
    <cfRule type="expression" dxfId="720" priority="367">
      <formula>AH187=1</formula>
    </cfRule>
  </conditionalFormatting>
  <conditionalFormatting sqref="AF188">
    <cfRule type="expression" dxfId="719" priority="364">
      <formula>AI188=1</formula>
    </cfRule>
    <cfRule type="expression" dxfId="718" priority="365">
      <formula>AH188=1</formula>
    </cfRule>
  </conditionalFormatting>
  <conditionalFormatting sqref="AF189">
    <cfRule type="expression" dxfId="717" priority="362">
      <formula>AI189=1</formula>
    </cfRule>
    <cfRule type="expression" dxfId="716" priority="363">
      <formula>AH189=1</formula>
    </cfRule>
  </conditionalFormatting>
  <conditionalFormatting sqref="AF190">
    <cfRule type="expression" dxfId="715" priority="360">
      <formula>AI190=1</formula>
    </cfRule>
    <cfRule type="expression" dxfId="714" priority="361">
      <formula>AH190=1</formula>
    </cfRule>
  </conditionalFormatting>
  <conditionalFormatting sqref="L175">
    <cfRule type="expression" dxfId="713" priority="634">
      <formula>N175=1</formula>
    </cfRule>
  </conditionalFormatting>
  <conditionalFormatting sqref="L182">
    <cfRule type="expression" dxfId="712" priority="334">
      <formula>N182=1</formula>
    </cfRule>
  </conditionalFormatting>
  <conditionalFormatting sqref="Q182">
    <cfRule type="expression" dxfId="711" priority="332">
      <formula>T182=1</formula>
    </cfRule>
    <cfRule type="expression" dxfId="710" priority="333">
      <formula>S182=1</formula>
    </cfRule>
  </conditionalFormatting>
  <conditionalFormatting sqref="Q182">
    <cfRule type="expression" dxfId="709" priority="331">
      <formula>S182=1</formula>
    </cfRule>
  </conditionalFormatting>
  <conditionalFormatting sqref="V182">
    <cfRule type="expression" dxfId="708" priority="329">
      <formula>Y182=1</formula>
    </cfRule>
    <cfRule type="expression" dxfId="707" priority="330">
      <formula>X182=1</formula>
    </cfRule>
  </conditionalFormatting>
  <conditionalFormatting sqref="V182">
    <cfRule type="expression" dxfId="706" priority="327">
      <formula>Y182=1</formula>
    </cfRule>
    <cfRule type="expression" dxfId="705" priority="328">
      <formula>X182=1</formula>
    </cfRule>
  </conditionalFormatting>
  <conditionalFormatting sqref="V182">
    <cfRule type="expression" dxfId="704" priority="326">
      <formula>X182=1</formula>
    </cfRule>
  </conditionalFormatting>
  <conditionalFormatting sqref="AA182">
    <cfRule type="expression" dxfId="703" priority="324">
      <formula>AD182=1</formula>
    </cfRule>
    <cfRule type="expression" dxfId="702" priority="325">
      <formula>AC182=1</formula>
    </cfRule>
  </conditionalFormatting>
  <conditionalFormatting sqref="AA182">
    <cfRule type="expression" dxfId="701" priority="322">
      <formula>AD182=1</formula>
    </cfRule>
    <cfRule type="expression" dxfId="700" priority="323">
      <formula>AC182=1</formula>
    </cfRule>
  </conditionalFormatting>
  <conditionalFormatting sqref="AA182">
    <cfRule type="expression" dxfId="699" priority="320">
      <formula>AD182=1</formula>
    </cfRule>
    <cfRule type="expression" dxfId="698" priority="321">
      <formula>AC182=1</formula>
    </cfRule>
  </conditionalFormatting>
  <conditionalFormatting sqref="AA182">
    <cfRule type="expression" dxfId="697" priority="319">
      <formula>AC182=1</formula>
    </cfRule>
  </conditionalFormatting>
  <conditionalFormatting sqref="AF182">
    <cfRule type="expression" dxfId="696" priority="317">
      <formula>AI182=1</formula>
    </cfRule>
    <cfRule type="expression" dxfId="695" priority="318">
      <formula>AH182=1</formula>
    </cfRule>
  </conditionalFormatting>
  <conditionalFormatting sqref="AF182">
    <cfRule type="expression" dxfId="694" priority="315">
      <formula>AI182=1</formula>
    </cfRule>
    <cfRule type="expression" dxfId="693" priority="316">
      <formula>AH182=1</formula>
    </cfRule>
  </conditionalFormatting>
  <conditionalFormatting sqref="AF182">
    <cfRule type="expression" dxfId="692" priority="313">
      <formula>AI182=1</formula>
    </cfRule>
    <cfRule type="expression" dxfId="691" priority="314">
      <formula>AH182=1</formula>
    </cfRule>
  </conditionalFormatting>
  <conditionalFormatting sqref="AF182">
    <cfRule type="expression" dxfId="690" priority="311">
      <formula>AI182=1</formula>
    </cfRule>
    <cfRule type="expression" dxfId="689" priority="312">
      <formula>AH182=1</formula>
    </cfRule>
  </conditionalFormatting>
  <conditionalFormatting sqref="AF182">
    <cfRule type="expression" dxfId="688" priority="310">
      <formula>AH182=1</formula>
    </cfRule>
  </conditionalFormatting>
  <conditionalFormatting sqref="L182">
    <cfRule type="expression" dxfId="687" priority="309">
      <formula>N182=1</formula>
    </cfRule>
  </conditionalFormatting>
  <conditionalFormatting sqref="Q182">
    <cfRule type="expression" dxfId="686" priority="307">
      <formula>T182=1</formula>
    </cfRule>
    <cfRule type="expression" dxfId="685" priority="308">
      <formula>S182=1</formula>
    </cfRule>
  </conditionalFormatting>
  <conditionalFormatting sqref="Q182">
    <cfRule type="expression" dxfId="684" priority="306">
      <formula>S182=1</formula>
    </cfRule>
  </conditionalFormatting>
  <conditionalFormatting sqref="Q182">
    <cfRule type="expression" dxfId="683" priority="305">
      <formula>S182=1</formula>
    </cfRule>
  </conditionalFormatting>
  <conditionalFormatting sqref="V182">
    <cfRule type="expression" dxfId="682" priority="303">
      <formula>Y182=1</formula>
    </cfRule>
    <cfRule type="expression" dxfId="681" priority="304">
      <formula>X182=1</formula>
    </cfRule>
  </conditionalFormatting>
  <conditionalFormatting sqref="V182">
    <cfRule type="expression" dxfId="680" priority="302">
      <formula>X182=1</formula>
    </cfRule>
  </conditionalFormatting>
  <conditionalFormatting sqref="V182">
    <cfRule type="expression" dxfId="679" priority="301">
      <formula>X182=1</formula>
    </cfRule>
  </conditionalFormatting>
  <conditionalFormatting sqref="AA182">
    <cfRule type="expression" dxfId="678" priority="299">
      <formula>AD182=1</formula>
    </cfRule>
    <cfRule type="expression" dxfId="677" priority="300">
      <formula>AC182=1</formula>
    </cfRule>
  </conditionalFormatting>
  <conditionalFormatting sqref="AA182">
    <cfRule type="expression" dxfId="676" priority="298">
      <formula>AC182=1</formula>
    </cfRule>
  </conditionalFormatting>
  <conditionalFormatting sqref="AA182">
    <cfRule type="expression" dxfId="675" priority="297">
      <formula>AC182=1</formula>
    </cfRule>
  </conditionalFormatting>
  <conditionalFormatting sqref="AF182">
    <cfRule type="expression" dxfId="674" priority="295">
      <formula>AI182=1</formula>
    </cfRule>
    <cfRule type="expression" dxfId="673" priority="296">
      <formula>AH182=1</formula>
    </cfRule>
  </conditionalFormatting>
  <conditionalFormatting sqref="AF182">
    <cfRule type="expression" dxfId="672" priority="294">
      <formula>AH182=1</formula>
    </cfRule>
  </conditionalFormatting>
  <conditionalFormatting sqref="AF182">
    <cfRule type="expression" dxfId="671" priority="293">
      <formula>AH182=1</formula>
    </cfRule>
  </conditionalFormatting>
  <conditionalFormatting sqref="L182">
    <cfRule type="expression" dxfId="670" priority="292">
      <formula>N182=1</formula>
    </cfRule>
  </conditionalFormatting>
  <conditionalFormatting sqref="Q182">
    <cfRule type="expression" dxfId="669" priority="291">
      <formula>S182=1</formula>
    </cfRule>
  </conditionalFormatting>
  <conditionalFormatting sqref="V182">
    <cfRule type="expression" dxfId="668" priority="290">
      <formula>X182=1</formula>
    </cfRule>
  </conditionalFormatting>
  <conditionalFormatting sqref="AA182">
    <cfRule type="expression" dxfId="667" priority="289">
      <formula>AC182=1</formula>
    </cfRule>
  </conditionalFormatting>
  <conditionalFormatting sqref="AF182">
    <cfRule type="expression" dxfId="666" priority="288">
      <formula>AH182=1</formula>
    </cfRule>
  </conditionalFormatting>
  <conditionalFormatting sqref="L182">
    <cfRule type="expression" dxfId="665" priority="287">
      <formula>N182=1</formula>
    </cfRule>
  </conditionalFormatting>
  <conditionalFormatting sqref="Q182">
    <cfRule type="expression" dxfId="664" priority="285">
      <formula>T182=1</formula>
    </cfRule>
    <cfRule type="expression" dxfId="663" priority="286">
      <formula>S182=1</formula>
    </cfRule>
  </conditionalFormatting>
  <conditionalFormatting sqref="Q182">
    <cfRule type="expression" dxfId="662" priority="284">
      <formula>S182=1</formula>
    </cfRule>
  </conditionalFormatting>
  <conditionalFormatting sqref="Q182">
    <cfRule type="expression" dxfId="661" priority="283">
      <formula>S182=1</formula>
    </cfRule>
  </conditionalFormatting>
  <conditionalFormatting sqref="Q182">
    <cfRule type="expression" dxfId="660" priority="282">
      <formula>S182=1</formula>
    </cfRule>
  </conditionalFormatting>
  <conditionalFormatting sqref="Q182">
    <cfRule type="expression" dxfId="659" priority="281">
      <formula>S182=1</formula>
    </cfRule>
  </conditionalFormatting>
  <conditionalFormatting sqref="V182">
    <cfRule type="expression" dxfId="658" priority="279">
      <formula>Y182=1</formula>
    </cfRule>
    <cfRule type="expression" dxfId="657" priority="280">
      <formula>X182=1</formula>
    </cfRule>
  </conditionalFormatting>
  <conditionalFormatting sqref="V182">
    <cfRule type="expression" dxfId="656" priority="277">
      <formula>Y182=1</formula>
    </cfRule>
    <cfRule type="expression" dxfId="655" priority="278">
      <formula>X182=1</formula>
    </cfRule>
  </conditionalFormatting>
  <conditionalFormatting sqref="V182">
    <cfRule type="expression" dxfId="654" priority="276">
      <formula>X182=1</formula>
    </cfRule>
  </conditionalFormatting>
  <conditionalFormatting sqref="V182">
    <cfRule type="expression" dxfId="653" priority="274">
      <formula>Y182=1</formula>
    </cfRule>
    <cfRule type="expression" dxfId="652" priority="275">
      <formula>X182=1</formula>
    </cfRule>
  </conditionalFormatting>
  <conditionalFormatting sqref="V182">
    <cfRule type="expression" dxfId="651" priority="273">
      <formula>X182=1</formula>
    </cfRule>
  </conditionalFormatting>
  <conditionalFormatting sqref="V182">
    <cfRule type="expression" dxfId="650" priority="272">
      <formula>X182=1</formula>
    </cfRule>
  </conditionalFormatting>
  <conditionalFormatting sqref="V182">
    <cfRule type="expression" dxfId="649" priority="271">
      <formula>X182=1</formula>
    </cfRule>
  </conditionalFormatting>
  <conditionalFormatting sqref="V182">
    <cfRule type="expression" dxfId="648" priority="269">
      <formula>Y182=1</formula>
    </cfRule>
    <cfRule type="expression" dxfId="647" priority="270">
      <formula>X182=1</formula>
    </cfRule>
  </conditionalFormatting>
  <conditionalFormatting sqref="V182">
    <cfRule type="expression" dxfId="646" priority="268">
      <formula>X182=1</formula>
    </cfRule>
  </conditionalFormatting>
  <conditionalFormatting sqref="V182">
    <cfRule type="expression" dxfId="645" priority="267">
      <formula>X182=1</formula>
    </cfRule>
  </conditionalFormatting>
  <conditionalFormatting sqref="V182">
    <cfRule type="expression" dxfId="644" priority="266">
      <formula>X182=1</formula>
    </cfRule>
  </conditionalFormatting>
  <conditionalFormatting sqref="V182">
    <cfRule type="expression" dxfId="643" priority="265">
      <formula>X182=1</formula>
    </cfRule>
  </conditionalFormatting>
  <conditionalFormatting sqref="AA182">
    <cfRule type="expression" dxfId="642" priority="263">
      <formula>AD182=1</formula>
    </cfRule>
    <cfRule type="expression" dxfId="641" priority="264">
      <formula>AC182=1</formula>
    </cfRule>
  </conditionalFormatting>
  <conditionalFormatting sqref="AA182">
    <cfRule type="expression" dxfId="640" priority="261">
      <formula>AD182=1</formula>
    </cfRule>
    <cfRule type="expression" dxfId="639" priority="262">
      <formula>AC182=1</formula>
    </cfRule>
  </conditionalFormatting>
  <conditionalFormatting sqref="AA182">
    <cfRule type="expression" dxfId="638" priority="259">
      <formula>AD182=1</formula>
    </cfRule>
    <cfRule type="expression" dxfId="637" priority="260">
      <formula>AC182=1</formula>
    </cfRule>
  </conditionalFormatting>
  <conditionalFormatting sqref="AA182">
    <cfRule type="expression" dxfId="636" priority="258">
      <formula>AC182=1</formula>
    </cfRule>
  </conditionalFormatting>
  <conditionalFormatting sqref="AA182">
    <cfRule type="expression" dxfId="635" priority="256">
      <formula>AD182=1</formula>
    </cfRule>
    <cfRule type="expression" dxfId="634" priority="257">
      <formula>AC182=1</formula>
    </cfRule>
  </conditionalFormatting>
  <conditionalFormatting sqref="AA182">
    <cfRule type="expression" dxfId="633" priority="255">
      <formula>AC182=1</formula>
    </cfRule>
  </conditionalFormatting>
  <conditionalFormatting sqref="AA182">
    <cfRule type="expression" dxfId="632" priority="254">
      <formula>AC182=1</formula>
    </cfRule>
  </conditionalFormatting>
  <conditionalFormatting sqref="AA182">
    <cfRule type="expression" dxfId="631" priority="253">
      <formula>AC182=1</formula>
    </cfRule>
  </conditionalFormatting>
  <conditionalFormatting sqref="AA182">
    <cfRule type="expression" dxfId="630" priority="251">
      <formula>AD182=1</formula>
    </cfRule>
    <cfRule type="expression" dxfId="629" priority="252">
      <formula>AC182=1</formula>
    </cfRule>
  </conditionalFormatting>
  <conditionalFormatting sqref="AA182">
    <cfRule type="expression" dxfId="628" priority="249">
      <formula>AD182=1</formula>
    </cfRule>
    <cfRule type="expression" dxfId="627" priority="250">
      <formula>AC182=1</formula>
    </cfRule>
  </conditionalFormatting>
  <conditionalFormatting sqref="AA182">
    <cfRule type="expression" dxfId="626" priority="248">
      <formula>AC182=1</formula>
    </cfRule>
  </conditionalFormatting>
  <conditionalFormatting sqref="AA182">
    <cfRule type="expression" dxfId="625" priority="246">
      <formula>AD182=1</formula>
    </cfRule>
    <cfRule type="expression" dxfId="624" priority="247">
      <formula>AC182=1</formula>
    </cfRule>
  </conditionalFormatting>
  <conditionalFormatting sqref="AA182">
    <cfRule type="expression" dxfId="623" priority="245">
      <formula>AC182=1</formula>
    </cfRule>
  </conditionalFormatting>
  <conditionalFormatting sqref="AA182">
    <cfRule type="expression" dxfId="622" priority="244">
      <formula>AC182=1</formula>
    </cfRule>
  </conditionalFormatting>
  <conditionalFormatting sqref="AA182">
    <cfRule type="expression" dxfId="621" priority="243">
      <formula>AC182=1</formula>
    </cfRule>
  </conditionalFormatting>
  <conditionalFormatting sqref="AA182">
    <cfRule type="expression" dxfId="620" priority="241">
      <formula>AD182=1</formula>
    </cfRule>
    <cfRule type="expression" dxfId="619" priority="242">
      <formula>AC182=1</formula>
    </cfRule>
  </conditionalFormatting>
  <conditionalFormatting sqref="AA182">
    <cfRule type="expression" dxfId="618" priority="240">
      <formula>AC182=1</formula>
    </cfRule>
  </conditionalFormatting>
  <conditionalFormatting sqref="AA182">
    <cfRule type="expression" dxfId="617" priority="239">
      <formula>AC182=1</formula>
    </cfRule>
  </conditionalFormatting>
  <conditionalFormatting sqref="AA182">
    <cfRule type="expression" dxfId="616" priority="238">
      <formula>AC182=1</formula>
    </cfRule>
  </conditionalFormatting>
  <conditionalFormatting sqref="AA182">
    <cfRule type="expression" dxfId="615" priority="237">
      <formula>AC182=1</formula>
    </cfRule>
  </conditionalFormatting>
  <conditionalFormatting sqref="AF182">
    <cfRule type="expression" dxfId="614" priority="235">
      <formula>AI182=1</formula>
    </cfRule>
    <cfRule type="expression" dxfId="613" priority="236">
      <formula>AH182=1</formula>
    </cfRule>
  </conditionalFormatting>
  <conditionalFormatting sqref="AF182">
    <cfRule type="expression" dxfId="612" priority="233">
      <formula>AI182=1</formula>
    </cfRule>
    <cfRule type="expression" dxfId="611" priority="234">
      <formula>AH182=1</formula>
    </cfRule>
  </conditionalFormatting>
  <conditionalFormatting sqref="AF182">
    <cfRule type="expression" dxfId="610" priority="231">
      <formula>AI182=1</formula>
    </cfRule>
    <cfRule type="expression" dxfId="609" priority="232">
      <formula>AH182=1</formula>
    </cfRule>
  </conditionalFormatting>
  <conditionalFormatting sqref="AF182">
    <cfRule type="expression" dxfId="608" priority="229">
      <formula>AI182=1</formula>
    </cfRule>
    <cfRule type="expression" dxfId="607" priority="230">
      <formula>AH182=1</formula>
    </cfRule>
  </conditionalFormatting>
  <conditionalFormatting sqref="AF182">
    <cfRule type="expression" dxfId="606" priority="228">
      <formula>AH182=1</formula>
    </cfRule>
  </conditionalFormatting>
  <conditionalFormatting sqref="AF182">
    <cfRule type="expression" dxfId="605" priority="226">
      <formula>AI182=1</formula>
    </cfRule>
    <cfRule type="expression" dxfId="604" priority="227">
      <formula>AH182=1</formula>
    </cfRule>
  </conditionalFormatting>
  <conditionalFormatting sqref="AF182">
    <cfRule type="expression" dxfId="603" priority="225">
      <formula>AH182=1</formula>
    </cfRule>
  </conditionalFormatting>
  <conditionalFormatting sqref="AF182">
    <cfRule type="expression" dxfId="602" priority="224">
      <formula>AH182=1</formula>
    </cfRule>
  </conditionalFormatting>
  <conditionalFormatting sqref="AF182">
    <cfRule type="expression" dxfId="601" priority="223">
      <formula>AH182=1</formula>
    </cfRule>
  </conditionalFormatting>
  <conditionalFormatting sqref="AF182">
    <cfRule type="expression" dxfId="600" priority="221">
      <formula>AI182=1</formula>
    </cfRule>
    <cfRule type="expression" dxfId="599" priority="222">
      <formula>AH182=1</formula>
    </cfRule>
  </conditionalFormatting>
  <conditionalFormatting sqref="AF182">
    <cfRule type="expression" dxfId="598" priority="219">
      <formula>AI182=1</formula>
    </cfRule>
    <cfRule type="expression" dxfId="597" priority="220">
      <formula>AH182=1</formula>
    </cfRule>
  </conditionalFormatting>
  <conditionalFormatting sqref="AF182">
    <cfRule type="expression" dxfId="596" priority="217">
      <formula>AI182=1</formula>
    </cfRule>
    <cfRule type="expression" dxfId="595" priority="218">
      <formula>AH182=1</formula>
    </cfRule>
  </conditionalFormatting>
  <conditionalFormatting sqref="AF182">
    <cfRule type="expression" dxfId="594" priority="216">
      <formula>AH182=1</formula>
    </cfRule>
  </conditionalFormatting>
  <conditionalFormatting sqref="AF182">
    <cfRule type="expression" dxfId="593" priority="214">
      <formula>AI182=1</formula>
    </cfRule>
    <cfRule type="expression" dxfId="592" priority="215">
      <formula>AH182=1</formula>
    </cfRule>
  </conditionalFormatting>
  <conditionalFormatting sqref="AF182">
    <cfRule type="expression" dxfId="591" priority="213">
      <formula>AH182=1</formula>
    </cfRule>
  </conditionalFormatting>
  <conditionalFormatting sqref="AF182">
    <cfRule type="expression" dxfId="590" priority="212">
      <formula>AH182=1</formula>
    </cfRule>
  </conditionalFormatting>
  <conditionalFormatting sqref="AF182">
    <cfRule type="expression" dxfId="589" priority="211">
      <formula>AH182=1</formula>
    </cfRule>
  </conditionalFormatting>
  <conditionalFormatting sqref="AF182">
    <cfRule type="expression" dxfId="588" priority="209">
      <formula>AI182=1</formula>
    </cfRule>
    <cfRule type="expression" dxfId="587" priority="210">
      <formula>AH182=1</formula>
    </cfRule>
  </conditionalFormatting>
  <conditionalFormatting sqref="AF182">
    <cfRule type="expression" dxfId="586" priority="207">
      <formula>AI182=1</formula>
    </cfRule>
    <cfRule type="expression" dxfId="585" priority="208">
      <formula>AH182=1</formula>
    </cfRule>
  </conditionalFormatting>
  <conditionalFormatting sqref="AF182">
    <cfRule type="expression" dxfId="584" priority="206">
      <formula>AH182=1</formula>
    </cfRule>
  </conditionalFormatting>
  <conditionalFormatting sqref="AF182">
    <cfRule type="expression" dxfId="583" priority="204">
      <formula>AI182=1</formula>
    </cfRule>
    <cfRule type="expression" dxfId="582" priority="205">
      <formula>AH182=1</formula>
    </cfRule>
  </conditionalFormatting>
  <conditionalFormatting sqref="AF182">
    <cfRule type="expression" dxfId="581" priority="203">
      <formula>AH182=1</formula>
    </cfRule>
  </conditionalFormatting>
  <conditionalFormatting sqref="AF182">
    <cfRule type="expression" dxfId="580" priority="202">
      <formula>AH182=1</formula>
    </cfRule>
  </conditionalFormatting>
  <conditionalFormatting sqref="AF182">
    <cfRule type="expression" dxfId="579" priority="201">
      <formula>AH182=1</formula>
    </cfRule>
  </conditionalFormatting>
  <conditionalFormatting sqref="AF182">
    <cfRule type="expression" dxfId="578" priority="199">
      <formula>AI182=1</formula>
    </cfRule>
    <cfRule type="expression" dxfId="577" priority="200">
      <formula>AH182=1</formula>
    </cfRule>
  </conditionalFormatting>
  <conditionalFormatting sqref="AF182">
    <cfRule type="expression" dxfId="576" priority="198">
      <formula>AH182=1</formula>
    </cfRule>
  </conditionalFormatting>
  <conditionalFormatting sqref="AF182">
    <cfRule type="expression" dxfId="575" priority="197">
      <formula>AH182=1</formula>
    </cfRule>
  </conditionalFormatting>
  <conditionalFormatting sqref="AF182">
    <cfRule type="expression" dxfId="574" priority="196">
      <formula>AH182=1</formula>
    </cfRule>
  </conditionalFormatting>
  <conditionalFormatting sqref="AF182">
    <cfRule type="expression" dxfId="573" priority="195">
      <formula>AH182=1</formula>
    </cfRule>
  </conditionalFormatting>
  <conditionalFormatting sqref="Q182">
    <cfRule type="expression" dxfId="572" priority="193">
      <formula>T182=1</formula>
    </cfRule>
    <cfRule type="expression" dxfId="571" priority="194">
      <formula>S182=1</formula>
    </cfRule>
  </conditionalFormatting>
  <conditionalFormatting sqref="Q182">
    <cfRule type="expression" dxfId="570" priority="192">
      <formula>S182=1</formula>
    </cfRule>
  </conditionalFormatting>
  <conditionalFormatting sqref="Q182">
    <cfRule type="expression" dxfId="569" priority="191">
      <formula>S182=1</formula>
    </cfRule>
  </conditionalFormatting>
  <conditionalFormatting sqref="Q182">
    <cfRule type="expression" dxfId="568" priority="190">
      <formula>S182=1</formula>
    </cfRule>
  </conditionalFormatting>
  <conditionalFormatting sqref="Q182">
    <cfRule type="expression" dxfId="567" priority="189">
      <formula>S182=1</formula>
    </cfRule>
  </conditionalFormatting>
  <conditionalFormatting sqref="V182">
    <cfRule type="expression" dxfId="566" priority="187">
      <formula>Y182=1</formula>
    </cfRule>
    <cfRule type="expression" dxfId="565" priority="188">
      <formula>X182=1</formula>
    </cfRule>
  </conditionalFormatting>
  <conditionalFormatting sqref="V182">
    <cfRule type="expression" dxfId="564" priority="185">
      <formula>Y182=1</formula>
    </cfRule>
    <cfRule type="expression" dxfId="563" priority="186">
      <formula>X182=1</formula>
    </cfRule>
  </conditionalFormatting>
  <conditionalFormatting sqref="V182">
    <cfRule type="expression" dxfId="562" priority="184">
      <formula>X182=1</formula>
    </cfRule>
  </conditionalFormatting>
  <conditionalFormatting sqref="V182">
    <cfRule type="expression" dxfId="561" priority="182">
      <formula>Y182=1</formula>
    </cfRule>
    <cfRule type="expression" dxfId="560" priority="183">
      <formula>X182=1</formula>
    </cfRule>
  </conditionalFormatting>
  <conditionalFormatting sqref="V182">
    <cfRule type="expression" dxfId="559" priority="181">
      <formula>X182=1</formula>
    </cfRule>
  </conditionalFormatting>
  <conditionalFormatting sqref="V182">
    <cfRule type="expression" dxfId="558" priority="180">
      <formula>X182=1</formula>
    </cfRule>
  </conditionalFormatting>
  <conditionalFormatting sqref="V182">
    <cfRule type="expression" dxfId="557" priority="179">
      <formula>X182=1</formula>
    </cfRule>
  </conditionalFormatting>
  <conditionalFormatting sqref="V182">
    <cfRule type="expression" dxfId="556" priority="177">
      <formula>Y182=1</formula>
    </cfRule>
    <cfRule type="expression" dxfId="555" priority="178">
      <formula>X182=1</formula>
    </cfRule>
  </conditionalFormatting>
  <conditionalFormatting sqref="V182">
    <cfRule type="expression" dxfId="554" priority="176">
      <formula>X182=1</formula>
    </cfRule>
  </conditionalFormatting>
  <conditionalFormatting sqref="V182">
    <cfRule type="expression" dxfId="553" priority="175">
      <formula>X182=1</formula>
    </cfRule>
  </conditionalFormatting>
  <conditionalFormatting sqref="V182">
    <cfRule type="expression" dxfId="552" priority="174">
      <formula>X182=1</formula>
    </cfRule>
  </conditionalFormatting>
  <conditionalFormatting sqref="V182">
    <cfRule type="expression" dxfId="551" priority="173">
      <formula>X182=1</formula>
    </cfRule>
  </conditionalFormatting>
  <conditionalFormatting sqref="V182">
    <cfRule type="expression" dxfId="550" priority="171">
      <formula>Y182=1</formula>
    </cfRule>
    <cfRule type="expression" dxfId="549" priority="172">
      <formula>X182=1</formula>
    </cfRule>
  </conditionalFormatting>
  <conditionalFormatting sqref="V182">
    <cfRule type="expression" dxfId="548" priority="170">
      <formula>X182=1</formula>
    </cfRule>
  </conditionalFormatting>
  <conditionalFormatting sqref="V182">
    <cfRule type="expression" dxfId="547" priority="169">
      <formula>X182=1</formula>
    </cfRule>
  </conditionalFormatting>
  <conditionalFormatting sqref="V182">
    <cfRule type="expression" dxfId="546" priority="168">
      <formula>X182=1</formula>
    </cfRule>
  </conditionalFormatting>
  <conditionalFormatting sqref="V182">
    <cfRule type="expression" dxfId="545" priority="167">
      <formula>X182=1</formula>
    </cfRule>
  </conditionalFormatting>
  <conditionalFormatting sqref="AA182">
    <cfRule type="expression" dxfId="544" priority="165">
      <formula>AD182=1</formula>
    </cfRule>
    <cfRule type="expression" dxfId="543" priority="166">
      <formula>AC182=1</formula>
    </cfRule>
  </conditionalFormatting>
  <conditionalFormatting sqref="AA182">
    <cfRule type="expression" dxfId="542" priority="163">
      <formula>AD182=1</formula>
    </cfRule>
    <cfRule type="expression" dxfId="541" priority="164">
      <formula>AC182=1</formula>
    </cfRule>
  </conditionalFormatting>
  <conditionalFormatting sqref="AA182">
    <cfRule type="expression" dxfId="540" priority="161">
      <formula>AD182=1</formula>
    </cfRule>
    <cfRule type="expression" dxfId="539" priority="162">
      <formula>AC182=1</formula>
    </cfRule>
  </conditionalFormatting>
  <conditionalFormatting sqref="AA182">
    <cfRule type="expression" dxfId="538" priority="160">
      <formula>AC182=1</formula>
    </cfRule>
  </conditionalFormatting>
  <conditionalFormatting sqref="AA182">
    <cfRule type="expression" dxfId="537" priority="158">
      <formula>AD182=1</formula>
    </cfRule>
    <cfRule type="expression" dxfId="536" priority="159">
      <formula>AC182=1</formula>
    </cfRule>
  </conditionalFormatting>
  <conditionalFormatting sqref="AA182">
    <cfRule type="expression" dxfId="535" priority="157">
      <formula>AC182=1</formula>
    </cfRule>
  </conditionalFormatting>
  <conditionalFormatting sqref="AA182">
    <cfRule type="expression" dxfId="534" priority="156">
      <formula>AC182=1</formula>
    </cfRule>
  </conditionalFormatting>
  <conditionalFormatting sqref="AA182">
    <cfRule type="expression" dxfId="533" priority="155">
      <formula>AC182=1</formula>
    </cfRule>
  </conditionalFormatting>
  <conditionalFormatting sqref="AA182">
    <cfRule type="expression" dxfId="532" priority="153">
      <formula>AD182=1</formula>
    </cfRule>
    <cfRule type="expression" dxfId="531" priority="154">
      <formula>AC182=1</formula>
    </cfRule>
  </conditionalFormatting>
  <conditionalFormatting sqref="AA182">
    <cfRule type="expression" dxfId="530" priority="151">
      <formula>AD182=1</formula>
    </cfRule>
    <cfRule type="expression" dxfId="529" priority="152">
      <formula>AC182=1</formula>
    </cfRule>
  </conditionalFormatting>
  <conditionalFormatting sqref="AA182">
    <cfRule type="expression" dxfId="528" priority="150">
      <formula>AC182=1</formula>
    </cfRule>
  </conditionalFormatting>
  <conditionalFormatting sqref="AA182">
    <cfRule type="expression" dxfId="527" priority="148">
      <formula>AD182=1</formula>
    </cfRule>
    <cfRule type="expression" dxfId="526" priority="149">
      <formula>AC182=1</formula>
    </cfRule>
  </conditionalFormatting>
  <conditionalFormatting sqref="AA182">
    <cfRule type="expression" dxfId="525" priority="147">
      <formula>AC182=1</formula>
    </cfRule>
  </conditionalFormatting>
  <conditionalFormatting sqref="AA182">
    <cfRule type="expression" dxfId="524" priority="146">
      <formula>AC182=1</formula>
    </cfRule>
  </conditionalFormatting>
  <conditionalFormatting sqref="AA182">
    <cfRule type="expression" dxfId="523" priority="145">
      <formula>AC182=1</formula>
    </cfRule>
  </conditionalFormatting>
  <conditionalFormatting sqref="AA182">
    <cfRule type="expression" dxfId="522" priority="143">
      <formula>AD182=1</formula>
    </cfRule>
    <cfRule type="expression" dxfId="521" priority="144">
      <formula>AC182=1</formula>
    </cfRule>
  </conditionalFormatting>
  <conditionalFormatting sqref="AA182">
    <cfRule type="expression" dxfId="520" priority="142">
      <formula>AC182=1</formula>
    </cfRule>
  </conditionalFormatting>
  <conditionalFormatting sqref="AA182">
    <cfRule type="expression" dxfId="519" priority="141">
      <formula>AC182=1</formula>
    </cfRule>
  </conditionalFormatting>
  <conditionalFormatting sqref="AA182">
    <cfRule type="expression" dxfId="518" priority="140">
      <formula>AC182=1</formula>
    </cfRule>
  </conditionalFormatting>
  <conditionalFormatting sqref="AA182">
    <cfRule type="expression" dxfId="517" priority="139">
      <formula>AC182=1</formula>
    </cfRule>
  </conditionalFormatting>
  <conditionalFormatting sqref="AA182">
    <cfRule type="expression" dxfId="516" priority="137">
      <formula>AD182=1</formula>
    </cfRule>
    <cfRule type="expression" dxfId="515" priority="138">
      <formula>AC182=1</formula>
    </cfRule>
  </conditionalFormatting>
  <conditionalFormatting sqref="AA182">
    <cfRule type="expression" dxfId="514" priority="135">
      <formula>AD182=1</formula>
    </cfRule>
    <cfRule type="expression" dxfId="513" priority="136">
      <formula>AC182=1</formula>
    </cfRule>
  </conditionalFormatting>
  <conditionalFormatting sqref="AA182">
    <cfRule type="expression" dxfId="512" priority="134">
      <formula>AC182=1</formula>
    </cfRule>
  </conditionalFormatting>
  <conditionalFormatting sqref="AA182">
    <cfRule type="expression" dxfId="511" priority="132">
      <formula>AD182=1</formula>
    </cfRule>
    <cfRule type="expression" dxfId="510" priority="133">
      <formula>AC182=1</formula>
    </cfRule>
  </conditionalFormatting>
  <conditionalFormatting sqref="AA182">
    <cfRule type="expression" dxfId="509" priority="131">
      <formula>AC182=1</formula>
    </cfRule>
  </conditionalFormatting>
  <conditionalFormatting sqref="AA182">
    <cfRule type="expression" dxfId="508" priority="130">
      <formula>AC182=1</formula>
    </cfRule>
  </conditionalFormatting>
  <conditionalFormatting sqref="AA182">
    <cfRule type="expression" dxfId="507" priority="129">
      <formula>AC182=1</formula>
    </cfRule>
  </conditionalFormatting>
  <conditionalFormatting sqref="AA182">
    <cfRule type="expression" dxfId="506" priority="127">
      <formula>AD182=1</formula>
    </cfRule>
    <cfRule type="expression" dxfId="505" priority="128">
      <formula>AC182=1</formula>
    </cfRule>
  </conditionalFormatting>
  <conditionalFormatting sqref="AA182">
    <cfRule type="expression" dxfId="504" priority="126">
      <formula>AC182=1</formula>
    </cfRule>
  </conditionalFormatting>
  <conditionalFormatting sqref="AA182">
    <cfRule type="expression" dxfId="503" priority="125">
      <formula>AC182=1</formula>
    </cfRule>
  </conditionalFormatting>
  <conditionalFormatting sqref="AA182">
    <cfRule type="expression" dxfId="502" priority="124">
      <formula>AC182=1</formula>
    </cfRule>
  </conditionalFormatting>
  <conditionalFormatting sqref="AA182">
    <cfRule type="expression" dxfId="501" priority="123">
      <formula>AC182=1</formula>
    </cfRule>
  </conditionalFormatting>
  <conditionalFormatting sqref="AA182">
    <cfRule type="expression" dxfId="500" priority="121">
      <formula>AD182=1</formula>
    </cfRule>
    <cfRule type="expression" dxfId="499" priority="122">
      <formula>AC182=1</formula>
    </cfRule>
  </conditionalFormatting>
  <conditionalFormatting sqref="AA182">
    <cfRule type="expression" dxfId="498" priority="120">
      <formula>AC182=1</formula>
    </cfRule>
  </conditionalFormatting>
  <conditionalFormatting sqref="AA182">
    <cfRule type="expression" dxfId="497" priority="119">
      <formula>AC182=1</formula>
    </cfRule>
  </conditionalFormatting>
  <conditionalFormatting sqref="AA182">
    <cfRule type="expression" dxfId="496" priority="118">
      <formula>AC182=1</formula>
    </cfRule>
  </conditionalFormatting>
  <conditionalFormatting sqref="AA182">
    <cfRule type="expression" dxfId="495" priority="117">
      <formula>AC182=1</formula>
    </cfRule>
  </conditionalFormatting>
  <conditionalFormatting sqref="AF182">
    <cfRule type="expression" dxfId="494" priority="115">
      <formula>AI182=1</formula>
    </cfRule>
    <cfRule type="expression" dxfId="493" priority="116">
      <formula>AH182=1</formula>
    </cfRule>
  </conditionalFormatting>
  <conditionalFormatting sqref="AF182">
    <cfRule type="expression" dxfId="492" priority="113">
      <formula>AI182=1</formula>
    </cfRule>
    <cfRule type="expression" dxfId="491" priority="114">
      <formula>AH182=1</formula>
    </cfRule>
  </conditionalFormatting>
  <conditionalFormatting sqref="AF182">
    <cfRule type="expression" dxfId="490" priority="111">
      <formula>AI182=1</formula>
    </cfRule>
    <cfRule type="expression" dxfId="489" priority="112">
      <formula>AH182=1</formula>
    </cfRule>
  </conditionalFormatting>
  <conditionalFormatting sqref="AF182">
    <cfRule type="expression" dxfId="488" priority="109">
      <formula>AI182=1</formula>
    </cfRule>
    <cfRule type="expression" dxfId="487" priority="110">
      <formula>AH182=1</formula>
    </cfRule>
  </conditionalFormatting>
  <conditionalFormatting sqref="AF182">
    <cfRule type="expression" dxfId="486" priority="108">
      <formula>AH182=1</formula>
    </cfRule>
  </conditionalFormatting>
  <conditionalFormatting sqref="AF182">
    <cfRule type="expression" dxfId="485" priority="106">
      <formula>AI182=1</formula>
    </cfRule>
    <cfRule type="expression" dxfId="484" priority="107">
      <formula>AH182=1</formula>
    </cfRule>
  </conditionalFormatting>
  <conditionalFormatting sqref="AF182">
    <cfRule type="expression" dxfId="483" priority="105">
      <formula>AH182=1</formula>
    </cfRule>
  </conditionalFormatting>
  <conditionalFormatting sqref="AF182">
    <cfRule type="expression" dxfId="482" priority="104">
      <formula>AH182=1</formula>
    </cfRule>
  </conditionalFormatting>
  <conditionalFormatting sqref="AF182">
    <cfRule type="expression" dxfId="481" priority="103">
      <formula>AH182=1</formula>
    </cfRule>
  </conditionalFormatting>
  <conditionalFormatting sqref="AF182">
    <cfRule type="expression" dxfId="480" priority="101">
      <formula>AI182=1</formula>
    </cfRule>
    <cfRule type="expression" dxfId="479" priority="102">
      <formula>AH182=1</formula>
    </cfRule>
  </conditionalFormatting>
  <conditionalFormatting sqref="AF182">
    <cfRule type="expression" dxfId="478" priority="99">
      <formula>AI182=1</formula>
    </cfRule>
    <cfRule type="expression" dxfId="477" priority="100">
      <formula>AH182=1</formula>
    </cfRule>
  </conditionalFormatting>
  <conditionalFormatting sqref="AF182">
    <cfRule type="expression" dxfId="476" priority="97">
      <formula>AI182=1</formula>
    </cfRule>
    <cfRule type="expression" dxfId="475" priority="98">
      <formula>AH182=1</formula>
    </cfRule>
  </conditionalFormatting>
  <conditionalFormatting sqref="AF182">
    <cfRule type="expression" dxfId="474" priority="96">
      <formula>AH182=1</formula>
    </cfRule>
  </conditionalFormatting>
  <conditionalFormatting sqref="AF182">
    <cfRule type="expression" dxfId="473" priority="94">
      <formula>AI182=1</formula>
    </cfRule>
    <cfRule type="expression" dxfId="472" priority="95">
      <formula>AH182=1</formula>
    </cfRule>
  </conditionalFormatting>
  <conditionalFormatting sqref="AF182">
    <cfRule type="expression" dxfId="471" priority="93">
      <formula>AH182=1</formula>
    </cfRule>
  </conditionalFormatting>
  <conditionalFormatting sqref="AF182">
    <cfRule type="expression" dxfId="470" priority="92">
      <formula>AH182=1</formula>
    </cfRule>
  </conditionalFormatting>
  <conditionalFormatting sqref="AF182">
    <cfRule type="expression" dxfId="469" priority="91">
      <formula>AH182=1</formula>
    </cfRule>
  </conditionalFormatting>
  <conditionalFormatting sqref="AF182">
    <cfRule type="expression" dxfId="468" priority="89">
      <formula>AI182=1</formula>
    </cfRule>
    <cfRule type="expression" dxfId="467" priority="90">
      <formula>AH182=1</formula>
    </cfRule>
  </conditionalFormatting>
  <conditionalFormatting sqref="AF182">
    <cfRule type="expression" dxfId="466" priority="87">
      <formula>AI182=1</formula>
    </cfRule>
    <cfRule type="expression" dxfId="465" priority="88">
      <formula>AH182=1</formula>
    </cfRule>
  </conditionalFormatting>
  <conditionalFormatting sqref="AF182">
    <cfRule type="expression" dxfId="464" priority="86">
      <formula>AH182=1</formula>
    </cfRule>
  </conditionalFormatting>
  <conditionalFormatting sqref="AF182">
    <cfRule type="expression" dxfId="463" priority="84">
      <formula>AI182=1</formula>
    </cfRule>
    <cfRule type="expression" dxfId="462" priority="85">
      <formula>AH182=1</formula>
    </cfRule>
  </conditionalFormatting>
  <conditionalFormatting sqref="AF182">
    <cfRule type="expression" dxfId="461" priority="83">
      <formula>AH182=1</formula>
    </cfRule>
  </conditionalFormatting>
  <conditionalFormatting sqref="AF182">
    <cfRule type="expression" dxfId="460" priority="82">
      <formula>AH182=1</formula>
    </cfRule>
  </conditionalFormatting>
  <conditionalFormatting sqref="AF182">
    <cfRule type="expression" dxfId="459" priority="81">
      <formula>AH182=1</formula>
    </cfRule>
  </conditionalFormatting>
  <conditionalFormatting sqref="AF182">
    <cfRule type="expression" dxfId="458" priority="79">
      <formula>AI182=1</formula>
    </cfRule>
    <cfRule type="expression" dxfId="457" priority="80">
      <formula>AH182=1</formula>
    </cfRule>
  </conditionalFormatting>
  <conditionalFormatting sqref="AF182">
    <cfRule type="expression" dxfId="456" priority="78">
      <formula>AH182=1</formula>
    </cfRule>
  </conditionalFormatting>
  <conditionalFormatting sqref="AF182">
    <cfRule type="expression" dxfId="455" priority="77">
      <formula>AH182=1</formula>
    </cfRule>
  </conditionalFormatting>
  <conditionalFormatting sqref="AF182">
    <cfRule type="expression" dxfId="454" priority="76">
      <formula>AH182=1</formula>
    </cfRule>
  </conditionalFormatting>
  <conditionalFormatting sqref="AF182">
    <cfRule type="expression" dxfId="453" priority="75">
      <formula>AH182=1</formula>
    </cfRule>
  </conditionalFormatting>
  <conditionalFormatting sqref="AF182">
    <cfRule type="expression" dxfId="452" priority="73">
      <formula>AI182=1</formula>
    </cfRule>
    <cfRule type="expression" dxfId="451" priority="74">
      <formula>AH182=1</formula>
    </cfRule>
  </conditionalFormatting>
  <conditionalFormatting sqref="AF182">
    <cfRule type="expression" dxfId="450" priority="71">
      <formula>AI182=1</formula>
    </cfRule>
    <cfRule type="expression" dxfId="449" priority="72">
      <formula>AH182=1</formula>
    </cfRule>
  </conditionalFormatting>
  <conditionalFormatting sqref="AF182">
    <cfRule type="expression" dxfId="448" priority="69">
      <formula>AI182=1</formula>
    </cfRule>
    <cfRule type="expression" dxfId="447" priority="70">
      <formula>AH182=1</formula>
    </cfRule>
  </conditionalFormatting>
  <conditionalFormatting sqref="AF182">
    <cfRule type="expression" dxfId="446" priority="68">
      <formula>AH182=1</formula>
    </cfRule>
  </conditionalFormatting>
  <conditionalFormatting sqref="AF182">
    <cfRule type="expression" dxfId="445" priority="66">
      <formula>AI182=1</formula>
    </cfRule>
    <cfRule type="expression" dxfId="444" priority="67">
      <formula>AH182=1</formula>
    </cfRule>
  </conditionalFormatting>
  <conditionalFormatting sqref="AF182">
    <cfRule type="expression" dxfId="443" priority="65">
      <formula>AH182=1</formula>
    </cfRule>
  </conditionalFormatting>
  <conditionalFormatting sqref="AF182">
    <cfRule type="expression" dxfId="442" priority="64">
      <formula>AH182=1</formula>
    </cfRule>
  </conditionalFormatting>
  <conditionalFormatting sqref="AF182">
    <cfRule type="expression" dxfId="441" priority="63">
      <formula>AH182=1</formula>
    </cfRule>
  </conditionalFormatting>
  <conditionalFormatting sqref="AF182">
    <cfRule type="expression" dxfId="440" priority="61">
      <formula>AI182=1</formula>
    </cfRule>
    <cfRule type="expression" dxfId="439" priority="62">
      <formula>AH182=1</formula>
    </cfRule>
  </conditionalFormatting>
  <conditionalFormatting sqref="AF182">
    <cfRule type="expression" dxfId="438" priority="59">
      <formula>AI182=1</formula>
    </cfRule>
    <cfRule type="expression" dxfId="437" priority="60">
      <formula>AH182=1</formula>
    </cfRule>
  </conditionalFormatting>
  <conditionalFormatting sqref="AF182">
    <cfRule type="expression" dxfId="436" priority="58">
      <formula>AH182=1</formula>
    </cfRule>
  </conditionalFormatting>
  <conditionalFormatting sqref="AF182">
    <cfRule type="expression" dxfId="435" priority="56">
      <formula>AI182=1</formula>
    </cfRule>
    <cfRule type="expression" dxfId="434" priority="57">
      <formula>AH182=1</formula>
    </cfRule>
  </conditionalFormatting>
  <conditionalFormatting sqref="AF182">
    <cfRule type="expression" dxfId="433" priority="55">
      <formula>AH182=1</formula>
    </cfRule>
  </conditionalFormatting>
  <conditionalFormatting sqref="AF182">
    <cfRule type="expression" dxfId="432" priority="54">
      <formula>AH182=1</formula>
    </cfRule>
  </conditionalFormatting>
  <conditionalFormatting sqref="AF182">
    <cfRule type="expression" dxfId="431" priority="53">
      <formula>AH182=1</formula>
    </cfRule>
  </conditionalFormatting>
  <conditionalFormatting sqref="AF182">
    <cfRule type="expression" dxfId="430" priority="51">
      <formula>AI182=1</formula>
    </cfRule>
    <cfRule type="expression" dxfId="429" priority="52">
      <formula>AH182=1</formula>
    </cfRule>
  </conditionalFormatting>
  <conditionalFormatting sqref="AF182">
    <cfRule type="expression" dxfId="428" priority="50">
      <formula>AH182=1</formula>
    </cfRule>
  </conditionalFormatting>
  <conditionalFormatting sqref="AF182">
    <cfRule type="expression" dxfId="427" priority="49">
      <formula>AH182=1</formula>
    </cfRule>
  </conditionalFormatting>
  <conditionalFormatting sqref="AF182">
    <cfRule type="expression" dxfId="426" priority="48">
      <formula>AH182=1</formula>
    </cfRule>
  </conditionalFormatting>
  <conditionalFormatting sqref="AF182">
    <cfRule type="expression" dxfId="425" priority="47">
      <formula>AH182=1</formula>
    </cfRule>
  </conditionalFormatting>
  <conditionalFormatting sqref="AF182">
    <cfRule type="expression" dxfId="424" priority="45">
      <formula>AI182=1</formula>
    </cfRule>
    <cfRule type="expression" dxfId="423" priority="46">
      <formula>AH182=1</formula>
    </cfRule>
  </conditionalFormatting>
  <conditionalFormatting sqref="AF182">
    <cfRule type="expression" dxfId="422" priority="43">
      <formula>AI182=1</formula>
    </cfRule>
    <cfRule type="expression" dxfId="421" priority="44">
      <formula>AH182=1</formula>
    </cfRule>
  </conditionalFormatting>
  <conditionalFormatting sqref="AF182">
    <cfRule type="expression" dxfId="420" priority="42">
      <formula>AH182=1</formula>
    </cfRule>
  </conditionalFormatting>
  <conditionalFormatting sqref="AF182">
    <cfRule type="expression" dxfId="419" priority="40">
      <formula>AI182=1</formula>
    </cfRule>
    <cfRule type="expression" dxfId="418" priority="41">
      <formula>AH182=1</formula>
    </cfRule>
  </conditionalFormatting>
  <conditionalFormatting sqref="AF182">
    <cfRule type="expression" dxfId="417" priority="39">
      <formula>AH182=1</formula>
    </cfRule>
  </conditionalFormatting>
  <conditionalFormatting sqref="AF182">
    <cfRule type="expression" dxfId="416" priority="38">
      <formula>AH182=1</formula>
    </cfRule>
  </conditionalFormatting>
  <conditionalFormatting sqref="AF182">
    <cfRule type="expression" dxfId="415" priority="37">
      <formula>AH182=1</formula>
    </cfRule>
  </conditionalFormatting>
  <conditionalFormatting sqref="AF182">
    <cfRule type="expression" dxfId="414" priority="35">
      <formula>AI182=1</formula>
    </cfRule>
    <cfRule type="expression" dxfId="413" priority="36">
      <formula>AH182=1</formula>
    </cfRule>
  </conditionalFormatting>
  <conditionalFormatting sqref="AF182">
    <cfRule type="expression" dxfId="412" priority="34">
      <formula>AH182=1</formula>
    </cfRule>
  </conditionalFormatting>
  <conditionalFormatting sqref="AF182">
    <cfRule type="expression" dxfId="411" priority="33">
      <formula>AH182=1</formula>
    </cfRule>
  </conditionalFormatting>
  <conditionalFormatting sqref="AF182">
    <cfRule type="expression" dxfId="410" priority="32">
      <formula>AH182=1</formula>
    </cfRule>
  </conditionalFormatting>
  <conditionalFormatting sqref="AF182">
    <cfRule type="expression" dxfId="409" priority="31">
      <formula>AH182=1</formula>
    </cfRule>
  </conditionalFormatting>
  <conditionalFormatting sqref="AF182">
    <cfRule type="expression" dxfId="408" priority="29">
      <formula>AI182=1</formula>
    </cfRule>
    <cfRule type="expression" dxfId="407" priority="30">
      <formula>AH182=1</formula>
    </cfRule>
  </conditionalFormatting>
  <conditionalFormatting sqref="AF182">
    <cfRule type="expression" dxfId="406" priority="28">
      <formula>AH182=1</formula>
    </cfRule>
  </conditionalFormatting>
  <conditionalFormatting sqref="AF182">
    <cfRule type="expression" dxfId="405" priority="27">
      <formula>AH182=1</formula>
    </cfRule>
  </conditionalFormatting>
  <conditionalFormatting sqref="AF182">
    <cfRule type="expression" dxfId="404" priority="26">
      <formula>AH182=1</formula>
    </cfRule>
  </conditionalFormatting>
  <conditionalFormatting sqref="AF182">
    <cfRule type="expression" dxfId="403" priority="25">
      <formula>AH182=1</formula>
    </cfRule>
  </conditionalFormatting>
  <conditionalFormatting sqref="Q179">
    <cfRule type="expression" dxfId="402" priority="13">
      <formula>AND(T179=1,U179=1)</formula>
    </cfRule>
    <cfRule type="expression" dxfId="401" priority="14">
      <formula>U179=1</formula>
    </cfRule>
    <cfRule type="expression" dxfId="400" priority="15">
      <formula>T179=1</formula>
    </cfRule>
    <cfRule type="expression" dxfId="399" priority="16">
      <formula>S179=1</formula>
    </cfRule>
  </conditionalFormatting>
  <conditionalFormatting sqref="V179">
    <cfRule type="expression" dxfId="398" priority="9">
      <formula>AND(Y179=1,Z179=1)</formula>
    </cfRule>
    <cfRule type="expression" dxfId="397" priority="10">
      <formula>Z179=1</formula>
    </cfRule>
    <cfRule type="expression" dxfId="396" priority="11">
      <formula>Y179=1</formula>
    </cfRule>
    <cfRule type="expression" dxfId="395" priority="12">
      <formula>X179=1</formula>
    </cfRule>
  </conditionalFormatting>
  <conditionalFormatting sqref="AA179">
    <cfRule type="expression" dxfId="394" priority="5">
      <formula>AND(AD179=1,AE179=1)</formula>
    </cfRule>
    <cfRule type="expression" dxfId="393" priority="6">
      <formula>AE179=1</formula>
    </cfRule>
    <cfRule type="expression" dxfId="392" priority="7">
      <formula>AD179=1</formula>
    </cfRule>
    <cfRule type="expression" dxfId="391" priority="8">
      <formula>AC179=1</formula>
    </cfRule>
  </conditionalFormatting>
  <conditionalFormatting sqref="AF179">
    <cfRule type="expression" dxfId="390" priority="1">
      <formula>AND(AJ179=1,AK179=1)</formula>
    </cfRule>
    <cfRule type="expression" dxfId="389" priority="2">
      <formula>AK179=1</formula>
    </cfRule>
    <cfRule type="expression" dxfId="388" priority="3">
      <formula>AJ179=1</formula>
    </cfRule>
    <cfRule type="expression" dxfId="387" priority="4">
      <formula>AI179=1</formula>
    </cfRule>
  </conditionalFormatting>
  <pageMargins left="0.7" right="0.7" top="0.75" bottom="0.75" header="0.3" footer="0.3"/>
  <pageSetup paperSize="9" orientation="portrait" r:id="rId1"/>
  <ignoredErrors>
    <ignoredError sqref="Q46 V46 AA46 AF46 AF54 Q104 V104 AA104 AF104 AF109 AF128 T158 T153 T148 T138 T133 T123 T128 T143 T113 T93 T85 T77 T69 T61 Y158 Y153 Y148 Y138 Y133 Y123 Y128 Y143 Y113 Y93 Y85 Y77 Y69 Y61 AD158 AD153 AD148 AD138 AD133 AD123 AD143 AD113 AD93 AD85 AD77 AD69 AD61 AA54 AA69:AA70 AA109 AA128 V54 V69:V70 V109 V128 Q54 Q69:Q70 Q109 Q128 AF170 V170 Q181 AF69:AF70 Q143:Q162 V143:V162 AA143:AA162 AF143:AF162 Q61 V61 AA61 AF61 Q113:Q114 V113:V114 AA113:AA114 AF113:AF114 Q77:Q78 V77:V78 AA77:AA78 AF77:AF78 Q123 V123 AA123 AF123 Q85:Q86 V85:V86 AA85:AA86 AF85:AF86 Q93:Q94 V93:V94 AA93:AA94 AF93:AF94 Q133:Q139 V133:V139 AA133:AA139 AF133:AF139 AD128 K176 K178 K177 AK179 N179 J179 B179:I179 K179:M179 O179:AB179 AD179:AH179" formula="1"/>
  </ignoredErrors>
  <legacyDrawing r:id="rId2"/>
</worksheet>
</file>

<file path=xl/worksheets/sheet12.xml><?xml version="1.0" encoding="utf-8"?>
<worksheet xmlns="http://schemas.openxmlformats.org/spreadsheetml/2006/main" xmlns:r="http://schemas.openxmlformats.org/officeDocument/2006/relationships">
  <sheetPr>
    <tabColor rgb="FFE51935"/>
  </sheetPr>
  <dimension ref="A1:W20"/>
  <sheetViews>
    <sheetView zoomScaleNormal="100" workbookViewId="0">
      <selection activeCell="B2" sqref="B2:O2"/>
    </sheetView>
  </sheetViews>
  <sheetFormatPr defaultColWidth="0" defaultRowHeight="0" customHeight="1" zeroHeight="1"/>
  <cols>
    <col min="1" max="1" width="3.85546875" style="28" customWidth="1"/>
    <col min="2" max="2" width="2.42578125" style="28" customWidth="1"/>
    <col min="3" max="3" width="3.7109375" style="28" customWidth="1"/>
    <col min="4" max="8" width="8.85546875" style="28" customWidth="1"/>
    <col min="9" max="9" width="3.7109375" style="28" customWidth="1"/>
    <col min="10" max="14" width="8.85546875" style="28" customWidth="1"/>
    <col min="15" max="15" width="2.5703125" style="28" customWidth="1"/>
    <col min="16" max="16" width="3.7109375" style="28" customWidth="1"/>
    <col min="17" max="23" width="0" style="28" hidden="1" customWidth="1"/>
    <col min="24" max="16384" width="8.85546875" style="28" hidden="1"/>
  </cols>
  <sheetData>
    <row r="1" spans="1:19" ht="15" customHeight="1" thickBot="1">
      <c r="P1" s="29"/>
      <c r="Q1" s="29"/>
      <c r="R1" s="29"/>
      <c r="S1" s="29"/>
    </row>
    <row r="2" spans="1:19" ht="30" customHeight="1" thickBot="1">
      <c r="A2" s="29"/>
      <c r="B2" s="1083" t="s">
        <v>112</v>
      </c>
      <c r="C2" s="1084"/>
      <c r="D2" s="1084"/>
      <c r="E2" s="1084"/>
      <c r="F2" s="1084"/>
      <c r="G2" s="1084"/>
      <c r="H2" s="1084"/>
      <c r="I2" s="1084"/>
      <c r="J2" s="1084"/>
      <c r="K2" s="1084"/>
      <c r="L2" s="1084"/>
      <c r="M2" s="1084"/>
      <c r="N2" s="1084"/>
      <c r="O2" s="1085"/>
      <c r="P2" s="29"/>
      <c r="Q2" s="29"/>
      <c r="R2" s="29"/>
      <c r="S2" s="29"/>
    </row>
    <row r="3" spans="1:19" ht="9.9499999999999993" customHeight="1">
      <c r="A3" s="29"/>
      <c r="B3" s="173"/>
      <c r="C3" s="174"/>
      <c r="D3" s="174"/>
      <c r="E3" s="174"/>
      <c r="F3" s="174"/>
      <c r="G3" s="174"/>
      <c r="H3" s="174"/>
      <c r="I3" s="174"/>
      <c r="J3" s="174"/>
      <c r="K3" s="174"/>
      <c r="L3" s="174"/>
      <c r="M3" s="174"/>
      <c r="N3" s="174"/>
      <c r="O3" s="175"/>
      <c r="P3" s="29"/>
      <c r="Q3" s="29"/>
      <c r="R3" s="29"/>
      <c r="S3" s="29"/>
    </row>
    <row r="4" spans="1:19" ht="15" customHeight="1">
      <c r="A4" s="29"/>
      <c r="B4" s="42"/>
      <c r="C4" s="41" t="s">
        <v>55</v>
      </c>
      <c r="D4" s="43"/>
      <c r="E4" s="43"/>
      <c r="F4" s="43"/>
      <c r="G4" s="43"/>
      <c r="H4" s="43"/>
      <c r="I4" s="43"/>
      <c r="J4" s="43"/>
      <c r="K4" s="43"/>
      <c r="L4" s="43"/>
      <c r="M4" s="43"/>
      <c r="N4" s="43"/>
      <c r="O4" s="44"/>
      <c r="P4" s="29"/>
      <c r="Q4" s="29"/>
      <c r="R4" s="29"/>
      <c r="S4" s="29"/>
    </row>
    <row r="5" spans="1:19" ht="9.9499999999999993" customHeight="1">
      <c r="B5" s="30"/>
      <c r="C5" s="40"/>
      <c r="D5" s="29"/>
      <c r="E5" s="29"/>
      <c r="F5" s="29"/>
      <c r="G5" s="29"/>
      <c r="H5" s="29"/>
      <c r="I5" s="29"/>
      <c r="J5" s="29"/>
      <c r="K5" s="29"/>
      <c r="L5" s="29"/>
      <c r="M5" s="29"/>
      <c r="N5" s="29"/>
      <c r="O5" s="31"/>
      <c r="P5" s="29"/>
      <c r="Q5" s="29"/>
      <c r="R5" s="29"/>
      <c r="S5" s="29"/>
    </row>
    <row r="6" spans="1:19" ht="15" customHeight="1">
      <c r="B6" s="30"/>
      <c r="C6" s="204" t="s">
        <v>79</v>
      </c>
      <c r="D6" s="974" t="s">
        <v>757</v>
      </c>
      <c r="E6" s="974"/>
      <c r="F6" s="974"/>
      <c r="G6" s="974"/>
      <c r="H6" s="974"/>
      <c r="I6" s="974"/>
      <c r="J6" s="974"/>
      <c r="K6" s="974"/>
      <c r="L6" s="974"/>
      <c r="M6" s="974"/>
      <c r="N6" s="974"/>
      <c r="O6" s="31"/>
      <c r="P6" s="29"/>
      <c r="Q6" s="29"/>
      <c r="R6" s="29"/>
      <c r="S6" s="29"/>
    </row>
    <row r="7" spans="1:19" ht="37.5" customHeight="1">
      <c r="B7" s="30"/>
      <c r="C7" s="154"/>
      <c r="D7" s="974"/>
      <c r="E7" s="974"/>
      <c r="F7" s="974"/>
      <c r="G7" s="974"/>
      <c r="H7" s="974"/>
      <c r="I7" s="974"/>
      <c r="J7" s="974"/>
      <c r="K7" s="974"/>
      <c r="L7" s="974"/>
      <c r="M7" s="974"/>
      <c r="N7" s="974"/>
      <c r="O7" s="31"/>
      <c r="P7" s="29"/>
      <c r="Q7" s="29"/>
      <c r="R7" s="29"/>
      <c r="S7" s="29"/>
    </row>
    <row r="8" spans="1:19" ht="18.75" customHeight="1">
      <c r="A8" s="29"/>
      <c r="B8" s="42"/>
      <c r="C8" s="41" t="s">
        <v>570</v>
      </c>
      <c r="D8" s="43"/>
      <c r="E8" s="43"/>
      <c r="F8" s="43"/>
      <c r="G8" s="43"/>
      <c r="H8" s="43"/>
      <c r="I8" s="43"/>
      <c r="J8" s="43"/>
      <c r="K8" s="43"/>
      <c r="L8" s="43"/>
      <c r="M8" s="43"/>
      <c r="N8" s="43"/>
      <c r="O8" s="44"/>
      <c r="P8" s="29"/>
      <c r="Q8" s="29"/>
      <c r="R8" s="29"/>
      <c r="S8" s="29"/>
    </row>
    <row r="9" spans="1:19" ht="9.9499999999999993" customHeight="1">
      <c r="B9" s="30"/>
      <c r="C9" s="40"/>
      <c r="D9" s="29"/>
      <c r="E9" s="29"/>
      <c r="F9" s="29"/>
      <c r="G9" s="29"/>
      <c r="H9" s="29"/>
      <c r="I9" s="29"/>
      <c r="J9" s="29"/>
      <c r="K9" s="29"/>
      <c r="L9" s="29"/>
      <c r="M9" s="29"/>
      <c r="N9" s="29"/>
      <c r="O9" s="31"/>
      <c r="P9" s="29"/>
      <c r="Q9" s="29"/>
      <c r="R9" s="29"/>
      <c r="S9" s="29"/>
    </row>
    <row r="10" spans="1:19" ht="15" customHeight="1">
      <c r="B10" s="30"/>
      <c r="C10" s="204" t="s">
        <v>79</v>
      </c>
      <c r="D10" s="48" t="s">
        <v>476</v>
      </c>
      <c r="E10" s="27"/>
      <c r="F10" s="27"/>
      <c r="G10" s="27"/>
      <c r="H10" s="27"/>
      <c r="I10" s="27"/>
      <c r="J10" s="27"/>
      <c r="K10" s="27"/>
      <c r="L10" s="27"/>
      <c r="M10" s="27"/>
      <c r="N10" s="27"/>
      <c r="O10" s="31"/>
      <c r="P10" s="29"/>
      <c r="Q10" s="29"/>
      <c r="R10" s="29"/>
      <c r="S10" s="29"/>
    </row>
    <row r="11" spans="1:19" ht="15" customHeight="1">
      <c r="B11" s="32"/>
      <c r="C11" s="204" t="s">
        <v>79</v>
      </c>
      <c r="D11" s="9" t="s">
        <v>477</v>
      </c>
      <c r="E11" s="27"/>
      <c r="F11" s="27"/>
      <c r="G11" s="27"/>
      <c r="H11" s="27"/>
      <c r="I11" s="27"/>
      <c r="J11" s="27"/>
      <c r="K11" s="27"/>
      <c r="L11" s="27"/>
      <c r="M11" s="27"/>
      <c r="N11" s="27"/>
      <c r="O11" s="31"/>
      <c r="P11" s="29"/>
      <c r="Q11" s="29"/>
      <c r="R11" s="29"/>
      <c r="S11" s="29"/>
    </row>
    <row r="12" spans="1:19" ht="9.75" customHeight="1">
      <c r="B12" s="33"/>
      <c r="C12" s="29"/>
      <c r="D12" s="29"/>
      <c r="E12" s="29"/>
      <c r="F12" s="29"/>
      <c r="G12" s="29"/>
      <c r="H12" s="29"/>
      <c r="I12" s="29"/>
      <c r="J12" s="29"/>
      <c r="K12" s="29"/>
      <c r="L12" s="29"/>
      <c r="M12" s="29"/>
      <c r="N12" s="29"/>
      <c r="O12" s="31"/>
    </row>
    <row r="13" spans="1:19" ht="18.75" customHeight="1">
      <c r="A13" s="29"/>
      <c r="B13" s="42"/>
      <c r="C13" s="41" t="s">
        <v>571</v>
      </c>
      <c r="D13" s="43"/>
      <c r="E13" s="43"/>
      <c r="F13" s="43"/>
      <c r="G13" s="43"/>
      <c r="H13" s="43"/>
      <c r="I13" s="43"/>
      <c r="J13" s="43"/>
      <c r="K13" s="43"/>
      <c r="L13" s="43"/>
      <c r="M13" s="43"/>
      <c r="N13" s="43"/>
      <c r="O13" s="44"/>
      <c r="P13" s="29"/>
      <c r="Q13" s="29"/>
      <c r="R13" s="29"/>
      <c r="S13" s="29"/>
    </row>
    <row r="14" spans="1:19" ht="9.9499999999999993" customHeight="1">
      <c r="B14" s="30"/>
      <c r="C14" s="40"/>
      <c r="D14" s="29"/>
      <c r="E14" s="29"/>
      <c r="F14" s="29"/>
      <c r="G14" s="29"/>
      <c r="H14" s="29"/>
      <c r="I14" s="29"/>
      <c r="J14" s="29"/>
      <c r="K14" s="29"/>
      <c r="L14" s="29"/>
      <c r="M14" s="29"/>
      <c r="N14" s="29"/>
      <c r="O14" s="31"/>
      <c r="P14" s="29"/>
      <c r="Q14" s="29"/>
      <c r="R14" s="29"/>
      <c r="S14" s="29"/>
    </row>
    <row r="15" spans="1:19" ht="30" customHeight="1">
      <c r="B15" s="30"/>
      <c r="C15" s="204" t="s">
        <v>79</v>
      </c>
      <c r="D15" s="974" t="s">
        <v>478</v>
      </c>
      <c r="E15" s="974"/>
      <c r="F15" s="974"/>
      <c r="G15" s="974"/>
      <c r="H15" s="974"/>
      <c r="I15" s="974"/>
      <c r="J15" s="974"/>
      <c r="K15" s="974"/>
      <c r="L15" s="974"/>
      <c r="M15" s="974"/>
      <c r="N15" s="974"/>
      <c r="O15" s="31"/>
      <c r="P15" s="29"/>
      <c r="Q15" s="29"/>
      <c r="R15" s="29"/>
      <c r="S15" s="29"/>
    </row>
    <row r="16" spans="1:19" ht="15" customHeight="1">
      <c r="B16" s="32"/>
      <c r="C16" s="204" t="s">
        <v>79</v>
      </c>
      <c r="D16" s="1031" t="s">
        <v>479</v>
      </c>
      <c r="E16" s="1031"/>
      <c r="F16" s="1031"/>
      <c r="G16" s="1031"/>
      <c r="H16" s="1031"/>
      <c r="I16" s="1031"/>
      <c r="J16" s="1031"/>
      <c r="K16" s="1031"/>
      <c r="L16" s="1031"/>
      <c r="M16" s="1031"/>
      <c r="N16" s="1031"/>
      <c r="O16" s="31"/>
      <c r="P16" s="29"/>
      <c r="Q16" s="29"/>
      <c r="R16" s="29"/>
      <c r="S16" s="29"/>
    </row>
    <row r="17" spans="2:15" ht="15" customHeight="1" thickBot="1">
      <c r="B17" s="37"/>
      <c r="C17" s="38"/>
      <c r="D17" s="38"/>
      <c r="E17" s="38"/>
      <c r="F17" s="38"/>
      <c r="G17" s="38"/>
      <c r="H17" s="38"/>
      <c r="I17" s="38"/>
      <c r="J17" s="38"/>
      <c r="K17" s="38"/>
      <c r="L17" s="38"/>
      <c r="M17" s="38"/>
      <c r="N17" s="38"/>
      <c r="O17" s="39"/>
    </row>
    <row r="18" spans="2:15" ht="15" customHeight="1"/>
    <row r="19" spans="2:15" ht="15" hidden="1" customHeight="1"/>
    <row r="20" spans="2:15" ht="15" customHeight="1"/>
  </sheetData>
  <mergeCells count="4">
    <mergeCell ref="B2:O2"/>
    <mergeCell ref="D6:N7"/>
    <mergeCell ref="D16:N16"/>
    <mergeCell ref="D15:N1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tabColor rgb="FFE51935"/>
  </sheetPr>
  <dimension ref="A1:BT110"/>
  <sheetViews>
    <sheetView zoomScale="90" zoomScaleNormal="90" workbookViewId="0">
      <selection activeCell="F6" sqref="F6"/>
    </sheetView>
  </sheetViews>
  <sheetFormatPr defaultColWidth="0" defaultRowHeight="0" customHeight="1" zeroHeight="1"/>
  <cols>
    <col min="1" max="1" width="3.85546875" style="28" customWidth="1"/>
    <col min="2" max="2" width="2.42578125" style="28" customWidth="1"/>
    <col min="3" max="3" width="3.140625" style="28" customWidth="1"/>
    <col min="4" max="4" width="10.5703125" style="28" customWidth="1"/>
    <col min="5" max="5" width="29.7109375" style="28" customWidth="1"/>
    <col min="6" max="6" width="48.5703125" style="28" bestFit="1" customWidth="1"/>
    <col min="7" max="7" width="27.5703125" style="28" customWidth="1"/>
    <col min="8" max="8" width="24.140625" style="28" customWidth="1"/>
    <col min="9" max="9" width="9.7109375" style="28" customWidth="1"/>
    <col min="10" max="10" width="4.7109375" style="602" hidden="1" customWidth="1"/>
    <col min="11" max="11" width="9.7109375" style="28" customWidth="1"/>
    <col min="12" max="12" width="76.7109375" style="28" bestFit="1" customWidth="1"/>
    <col min="13" max="13" width="15" style="28" bestFit="1" customWidth="1"/>
    <col min="14" max="14" width="3" style="28" customWidth="1"/>
    <col min="15" max="15" width="38.140625" style="28" customWidth="1"/>
    <col min="16" max="16" width="12.140625" style="28" customWidth="1"/>
    <col min="17" max="17" width="112.42578125" style="28" customWidth="1"/>
    <col min="18" max="18" width="2.5703125" style="28" customWidth="1"/>
    <col min="19" max="19" width="3.7109375" style="28" customWidth="1"/>
    <col min="20" max="72" width="0" style="28" hidden="1" customWidth="1"/>
    <col min="73" max="16384" width="8.85546875" style="28" hidden="1"/>
  </cols>
  <sheetData>
    <row r="1" spans="1:22" ht="15" customHeight="1" thickBot="1">
      <c r="S1" s="29"/>
      <c r="T1" s="29"/>
      <c r="U1" s="29"/>
      <c r="V1" s="29"/>
    </row>
    <row r="2" spans="1:22" ht="24.95" customHeight="1" thickBot="1">
      <c r="A2" s="29"/>
      <c r="B2" s="657" t="s">
        <v>761</v>
      </c>
      <c r="C2" s="658"/>
      <c r="D2" s="658"/>
      <c r="E2" s="658"/>
      <c r="F2" s="658"/>
      <c r="G2" s="658"/>
      <c r="H2" s="658"/>
      <c r="I2" s="658"/>
      <c r="J2" s="658"/>
      <c r="K2" s="658"/>
      <c r="L2" s="658"/>
      <c r="M2" s="658"/>
      <c r="N2" s="658"/>
      <c r="O2" s="658"/>
      <c r="P2" s="658"/>
      <c r="Q2" s="658"/>
      <c r="R2" s="659"/>
      <c r="S2" s="29"/>
      <c r="T2" s="29"/>
      <c r="U2" s="29"/>
      <c r="V2" s="29"/>
    </row>
    <row r="3" spans="1:22" ht="9.9499999999999993" customHeight="1">
      <c r="A3" s="29"/>
      <c r="B3" s="42"/>
      <c r="C3" s="43"/>
      <c r="D3" s="43"/>
      <c r="E3" s="43"/>
      <c r="F3" s="43"/>
      <c r="G3" s="43"/>
      <c r="H3" s="43"/>
      <c r="I3" s="43"/>
      <c r="J3" s="603"/>
      <c r="K3" s="43"/>
      <c r="L3" s="43"/>
      <c r="M3" s="43"/>
      <c r="N3" s="43"/>
      <c r="O3" s="43"/>
      <c r="P3" s="43"/>
      <c r="Q3" s="43"/>
      <c r="R3" s="44"/>
      <c r="S3" s="29"/>
      <c r="T3" s="29"/>
      <c r="U3" s="29"/>
      <c r="V3" s="29"/>
    </row>
    <row r="4" spans="1:22" ht="15" customHeight="1">
      <c r="A4" s="29"/>
      <c r="B4" s="42"/>
      <c r="C4" s="69" t="s">
        <v>4</v>
      </c>
      <c r="D4" s="70"/>
      <c r="E4" s="70"/>
      <c r="F4" s="70"/>
      <c r="G4" s="70"/>
      <c r="H4" s="70"/>
      <c r="I4" s="70"/>
      <c r="J4" s="604"/>
      <c r="K4" s="70"/>
      <c r="L4" s="71"/>
      <c r="M4" s="66"/>
      <c r="N4" s="66"/>
      <c r="O4" s="66"/>
      <c r="P4" s="66"/>
      <c r="Q4" s="66"/>
      <c r="R4" s="44"/>
      <c r="S4" s="29"/>
      <c r="T4" s="29"/>
      <c r="U4" s="29"/>
      <c r="V4" s="29"/>
    </row>
    <row r="5" spans="1:22" ht="15" customHeight="1">
      <c r="B5" s="30"/>
      <c r="C5" s="142" t="s">
        <v>79</v>
      </c>
      <c r="D5" s="63" t="s">
        <v>764</v>
      </c>
      <c r="E5" s="27"/>
      <c r="F5" s="27"/>
      <c r="G5" s="27"/>
      <c r="H5" s="27"/>
      <c r="I5" s="27"/>
      <c r="J5" s="605"/>
      <c r="K5" s="27"/>
      <c r="L5" s="57"/>
      <c r="M5" s="27"/>
      <c r="N5" s="27"/>
      <c r="O5" s="27"/>
      <c r="P5" s="27"/>
      <c r="Q5" s="27"/>
      <c r="R5" s="31"/>
      <c r="S5" s="29"/>
      <c r="T5" s="29"/>
      <c r="U5" s="29"/>
      <c r="V5" s="29"/>
    </row>
    <row r="6" spans="1:22" ht="15" customHeight="1">
      <c r="A6" s="29"/>
      <c r="B6" s="42"/>
      <c r="C6" s="142" t="s">
        <v>79</v>
      </c>
      <c r="D6" s="63" t="s">
        <v>777</v>
      </c>
      <c r="E6" s="66"/>
      <c r="F6" s="66"/>
      <c r="G6" s="66"/>
      <c r="H6" s="66"/>
      <c r="I6" s="66"/>
      <c r="J6" s="718"/>
      <c r="K6" s="66"/>
      <c r="L6" s="180"/>
      <c r="M6" s="66"/>
      <c r="N6" s="66"/>
      <c r="O6" s="66"/>
      <c r="P6" s="66"/>
      <c r="Q6" s="66"/>
      <c r="R6" s="44"/>
      <c r="S6" s="29"/>
      <c r="T6" s="29"/>
      <c r="U6" s="29"/>
      <c r="V6" s="29"/>
    </row>
    <row r="7" spans="1:22" ht="15" customHeight="1">
      <c r="B7" s="30"/>
      <c r="C7" s="142" t="s">
        <v>79</v>
      </c>
      <c r="D7" s="214" t="s">
        <v>778</v>
      </c>
      <c r="E7" s="214"/>
      <c r="F7" s="214"/>
      <c r="G7" s="214"/>
      <c r="H7" s="214"/>
      <c r="I7" s="214"/>
      <c r="J7" s="214"/>
      <c r="K7" s="214"/>
      <c r="L7" s="562"/>
      <c r="M7" s="237"/>
      <c r="N7" s="237"/>
      <c r="O7" s="237"/>
      <c r="P7" s="650"/>
      <c r="Q7" s="650"/>
      <c r="R7" s="31"/>
      <c r="S7" s="29"/>
      <c r="T7" s="29"/>
      <c r="U7" s="29"/>
      <c r="V7" s="29"/>
    </row>
    <row r="8" spans="1:22" ht="15" customHeight="1">
      <c r="B8" s="30"/>
      <c r="C8" s="142" t="s">
        <v>79</v>
      </c>
      <c r="D8" s="63" t="s">
        <v>766</v>
      </c>
      <c r="E8" s="27"/>
      <c r="F8" s="27"/>
      <c r="G8" s="27"/>
      <c r="H8" s="27"/>
      <c r="I8" s="27"/>
      <c r="J8" s="605"/>
      <c r="K8" s="27"/>
      <c r="L8" s="57"/>
      <c r="M8" s="27"/>
      <c r="N8" s="27"/>
      <c r="O8" s="27"/>
      <c r="P8" s="27"/>
      <c r="Q8" s="27"/>
      <c r="R8" s="31"/>
      <c r="S8" s="29"/>
      <c r="T8" s="29"/>
      <c r="U8" s="29"/>
      <c r="V8" s="29"/>
    </row>
    <row r="9" spans="1:22" ht="15" customHeight="1">
      <c r="B9" s="30"/>
      <c r="C9" s="142" t="s">
        <v>79</v>
      </c>
      <c r="D9" s="63" t="s">
        <v>765</v>
      </c>
      <c r="E9" s="27"/>
      <c r="F9" s="27"/>
      <c r="G9" s="27"/>
      <c r="H9" s="27"/>
      <c r="I9" s="27"/>
      <c r="J9" s="605"/>
      <c r="K9" s="27"/>
      <c r="L9" s="57"/>
      <c r="M9" s="27"/>
      <c r="N9" s="27"/>
      <c r="O9" s="27"/>
      <c r="P9" s="27"/>
      <c r="Q9" s="27"/>
      <c r="R9" s="31"/>
      <c r="S9" s="29"/>
      <c r="T9" s="29"/>
      <c r="U9" s="29"/>
      <c r="V9" s="29"/>
    </row>
    <row r="10" spans="1:22" ht="15" customHeight="1">
      <c r="B10" s="32"/>
      <c r="C10" s="56"/>
      <c r="D10" s="27"/>
      <c r="E10" s="27"/>
      <c r="F10" s="27"/>
      <c r="G10" s="27"/>
      <c r="H10" s="27"/>
      <c r="I10" s="27"/>
      <c r="J10" s="605"/>
      <c r="K10" s="27"/>
      <c r="L10" s="57"/>
      <c r="M10" s="27"/>
      <c r="N10" s="27"/>
      <c r="O10" s="27"/>
      <c r="P10" s="27"/>
      <c r="Q10" s="27"/>
      <c r="R10" s="31"/>
      <c r="S10" s="29"/>
      <c r="T10" s="29"/>
      <c r="U10" s="29"/>
      <c r="V10" s="29"/>
    </row>
    <row r="11" spans="1:22" ht="15" customHeight="1">
      <c r="B11" s="32"/>
      <c r="C11" s="58" t="s">
        <v>11</v>
      </c>
      <c r="D11" s="29"/>
      <c r="E11" s="26"/>
      <c r="F11" s="27"/>
      <c r="G11" s="27"/>
      <c r="H11" s="27"/>
      <c r="I11" s="27"/>
      <c r="J11" s="605"/>
      <c r="K11" s="27"/>
      <c r="L11" s="57"/>
      <c r="M11" s="27"/>
      <c r="N11" s="27"/>
      <c r="O11" s="27"/>
      <c r="P11" s="27"/>
      <c r="Q11" s="27"/>
      <c r="R11" s="31"/>
      <c r="S11" s="29"/>
      <c r="T11" s="29"/>
      <c r="U11" s="29"/>
      <c r="V11" s="29"/>
    </row>
    <row r="12" spans="1:22" ht="15" customHeight="1">
      <c r="B12" s="32"/>
      <c r="C12" s="164"/>
      <c r="D12" s="63" t="s">
        <v>588</v>
      </c>
      <c r="E12" s="26"/>
      <c r="F12" s="27"/>
      <c r="G12" s="27"/>
      <c r="H12" s="27"/>
      <c r="I12" s="27"/>
      <c r="J12" s="605"/>
      <c r="K12" s="27"/>
      <c r="L12" s="57"/>
      <c r="M12" s="27"/>
      <c r="N12" s="27"/>
      <c r="O12" s="27"/>
      <c r="P12" s="27"/>
      <c r="Q12" s="27"/>
      <c r="R12" s="31"/>
      <c r="S12" s="29"/>
      <c r="T12" s="29"/>
      <c r="U12" s="29"/>
      <c r="V12" s="29"/>
    </row>
    <row r="13" spans="1:22" ht="15" customHeight="1">
      <c r="B13" s="32"/>
      <c r="C13" s="166"/>
      <c r="D13" s="63" t="s">
        <v>82</v>
      </c>
      <c r="E13" s="26"/>
      <c r="F13" s="27"/>
      <c r="G13" s="27"/>
      <c r="H13" s="27"/>
      <c r="I13" s="27"/>
      <c r="J13" s="605"/>
      <c r="K13" s="27"/>
      <c r="L13" s="57"/>
      <c r="M13" s="27"/>
      <c r="N13" s="27"/>
      <c r="O13" s="27"/>
      <c r="P13" s="27"/>
      <c r="Q13" s="27"/>
      <c r="R13" s="31"/>
      <c r="S13" s="29"/>
      <c r="T13" s="29"/>
      <c r="U13" s="29"/>
      <c r="V13" s="29"/>
    </row>
    <row r="14" spans="1:22" ht="15" customHeight="1">
      <c r="B14" s="32"/>
      <c r="C14" s="212"/>
      <c r="D14" s="64" t="s">
        <v>600</v>
      </c>
      <c r="E14" s="59"/>
      <c r="F14" s="60"/>
      <c r="G14" s="60"/>
      <c r="H14" s="60"/>
      <c r="I14" s="60"/>
      <c r="J14" s="606"/>
      <c r="K14" s="60"/>
      <c r="L14" s="61"/>
      <c r="M14" s="27"/>
      <c r="N14" s="27"/>
      <c r="O14" s="27"/>
      <c r="P14" s="27"/>
      <c r="Q14" s="27"/>
      <c r="R14" s="31"/>
      <c r="S14" s="29"/>
      <c r="T14" s="29"/>
      <c r="U14" s="29"/>
      <c r="V14" s="29"/>
    </row>
    <row r="15" spans="1:22" ht="15" customHeight="1">
      <c r="B15" s="32"/>
      <c r="C15" s="19"/>
      <c r="D15" s="63"/>
      <c r="E15" s="29"/>
      <c r="F15" s="27"/>
      <c r="G15" s="27"/>
      <c r="H15" s="27"/>
      <c r="I15" s="27"/>
      <c r="J15" s="605"/>
      <c r="K15" s="27"/>
      <c r="L15" s="27"/>
      <c r="M15" s="27"/>
      <c r="N15" s="27"/>
      <c r="O15" s="27"/>
      <c r="P15" s="27"/>
      <c r="Q15" s="27"/>
      <c r="R15" s="31"/>
      <c r="S15" s="29"/>
      <c r="T15" s="29"/>
      <c r="U15" s="29"/>
      <c r="V15" s="29"/>
    </row>
    <row r="16" spans="1:22" ht="15" customHeight="1">
      <c r="B16" s="24"/>
      <c r="C16" s="29"/>
      <c r="D16" s="29"/>
      <c r="E16" s="97"/>
      <c r="F16" s="97"/>
      <c r="G16" s="97"/>
      <c r="H16" s="97"/>
      <c r="I16" s="97"/>
      <c r="J16" s="593"/>
      <c r="K16" s="97"/>
      <c r="L16" s="97"/>
      <c r="M16" s="97"/>
      <c r="N16" s="97"/>
      <c r="O16" s="97"/>
      <c r="P16" s="97"/>
      <c r="Q16" s="97"/>
      <c r="R16" s="20"/>
      <c r="S16" s="29"/>
      <c r="T16" s="29"/>
      <c r="U16" s="29"/>
      <c r="V16" s="29"/>
    </row>
    <row r="17" spans="2:22" ht="30" customHeight="1">
      <c r="B17" s="33"/>
      <c r="C17" s="29"/>
      <c r="D17" s="47"/>
      <c r="E17" s="27"/>
      <c r="F17" s="207" t="s">
        <v>762</v>
      </c>
      <c r="G17" s="207" t="s">
        <v>472</v>
      </c>
      <c r="H17" s="207" t="s">
        <v>473</v>
      </c>
      <c r="I17" s="207" t="s">
        <v>120</v>
      </c>
      <c r="J17" s="607"/>
      <c r="K17" s="207" t="s">
        <v>122</v>
      </c>
      <c r="L17" s="207" t="s">
        <v>763</v>
      </c>
      <c r="M17" s="207" t="str">
        <f>"Unit value in 2021 "&amp;currency</f>
        <v xml:space="preserve">Unit value in 2021 </v>
      </c>
      <c r="N17" s="208"/>
      <c r="O17" s="207" t="s">
        <v>763</v>
      </c>
      <c r="P17" s="207" t="str">
        <f>"Unit value in 2021 "&amp;currency</f>
        <v xml:space="preserve">Unit value in 2021 </v>
      </c>
      <c r="Q17" s="965" t="s">
        <v>760</v>
      </c>
      <c r="R17" s="31"/>
      <c r="S17" s="29"/>
      <c r="T17" s="29"/>
      <c r="U17" s="29"/>
      <c r="V17" s="29"/>
    </row>
    <row r="18" spans="2:22" ht="42.75" customHeight="1">
      <c r="B18" s="33"/>
      <c r="D18" s="47"/>
      <c r="E18" s="27"/>
      <c r="F18" s="929" t="s">
        <v>780</v>
      </c>
      <c r="G18" s="197"/>
      <c r="H18" s="197"/>
      <c r="I18" s="197"/>
      <c r="J18" s="608"/>
      <c r="K18" s="76"/>
      <c r="L18" s="76"/>
      <c r="M18" s="76"/>
      <c r="N18" s="76"/>
      <c r="O18" s="1044" t="s">
        <v>779</v>
      </c>
      <c r="P18" s="1044"/>
      <c r="Q18" s="660"/>
      <c r="R18" s="31"/>
      <c r="S18" s="29"/>
      <c r="T18" s="29"/>
      <c r="U18" s="29"/>
      <c r="V18" s="29"/>
    </row>
    <row r="19" spans="2:22" ht="15" customHeight="1">
      <c r="B19" s="33"/>
      <c r="C19" s="86" t="s">
        <v>107</v>
      </c>
      <c r="D19" s="87"/>
      <c r="E19" s="88"/>
      <c r="F19" s="196"/>
      <c r="G19" s="196"/>
      <c r="H19" s="196"/>
      <c r="I19" s="196"/>
      <c r="J19" s="609"/>
      <c r="K19" s="196"/>
      <c r="L19" s="196"/>
      <c r="M19" s="196"/>
      <c r="N19" s="401"/>
      <c r="O19" s="196"/>
      <c r="P19" s="653"/>
      <c r="Q19" s="653"/>
      <c r="R19" s="31"/>
      <c r="S19" s="29"/>
      <c r="T19" s="29"/>
      <c r="U19" s="29"/>
      <c r="V19" s="29"/>
    </row>
    <row r="20" spans="2:22" ht="15" customHeight="1">
      <c r="B20" s="33"/>
      <c r="C20" s="49" t="s">
        <v>42</v>
      </c>
      <c r="D20" s="47"/>
      <c r="E20" s="27"/>
      <c r="F20" s="223"/>
      <c r="G20" s="223"/>
      <c r="H20" s="223"/>
      <c r="I20" s="223"/>
      <c r="J20" s="610"/>
      <c r="K20" s="223"/>
      <c r="L20" s="223"/>
      <c r="M20" s="223"/>
      <c r="N20" s="223"/>
      <c r="O20" s="674"/>
      <c r="P20" s="652"/>
      <c r="Q20" s="652"/>
      <c r="R20" s="31"/>
      <c r="S20" s="29"/>
      <c r="T20" s="29"/>
      <c r="U20" s="29"/>
      <c r="V20" s="29"/>
    </row>
    <row r="21" spans="2:22" ht="15" customHeight="1">
      <c r="B21" s="33"/>
      <c r="C21" s="29"/>
      <c r="D21" s="47" t="s">
        <v>14</v>
      </c>
      <c r="E21" s="27"/>
      <c r="F21" s="559"/>
      <c r="G21" s="211" t="str">
        <f>IF($F21="","",VLOOKUP($F21,moneydata_vot_peds,2))</f>
        <v/>
      </c>
      <c r="H21" s="211" t="str">
        <f>IF($F21="","",VLOOKUP($F21,moneydata_vot_peds,3))</f>
        <v/>
      </c>
      <c r="I21" s="211" t="str">
        <f>IF($F21="","",VLOOKUP($F21,moneydata_vot_peds,4))</f>
        <v/>
      </c>
      <c r="J21" s="611" t="str">
        <f>IF(AND(I21&lt;&gt;"",I21&lt;&gt;country),1,"")</f>
        <v/>
      </c>
      <c r="K21" s="211" t="str">
        <f>IF($F21="","",VLOOKUP($F21,moneydata_vot_peds,5))</f>
        <v/>
      </c>
      <c r="L21" s="151" t="str">
        <f>IF($F21="","",VLOOKUP($F21,moneydata_vot_peds,6))</f>
        <v/>
      </c>
      <c r="M21" s="431" t="str">
        <f>IF($F21="","",VLOOKUP($F21,moneydata_vot_peds,VLOOKUP(city,cities_data,4,0)))</f>
        <v/>
      </c>
      <c r="N21" s="45"/>
      <c r="O21" s="559"/>
      <c r="P21" s="113"/>
      <c r="Q21" s="684" t="str">
        <f t="shared" ref="Q21:Q27" si="0">IF(O21="","","Value needs to be per minute")</f>
        <v/>
      </c>
      <c r="R21" s="31"/>
      <c r="S21" s="29"/>
      <c r="T21" s="29"/>
      <c r="U21" s="29"/>
      <c r="V21" s="29"/>
    </row>
    <row r="22" spans="2:22" ht="15" customHeight="1">
      <c r="B22" s="33"/>
      <c r="C22" s="29"/>
      <c r="D22" s="47" t="s">
        <v>43</v>
      </c>
      <c r="E22" s="27"/>
      <c r="F22" s="553"/>
      <c r="G22" s="211" t="str">
        <f>IF($F22="","",VLOOKUP($F22,moneydata_vot_cycle,2))</f>
        <v/>
      </c>
      <c r="H22" s="211" t="str">
        <f>IF($F22="","",VLOOKUP($F22,moneydata_vot_cycle,3))</f>
        <v/>
      </c>
      <c r="I22" s="211" t="str">
        <f>IF($F22="","",VLOOKUP($F22,moneydata_vot_cycle,4))</f>
        <v/>
      </c>
      <c r="J22" s="611" t="str">
        <f>IF(AND(I22&lt;&gt;"",I22&lt;&gt;country),1,"")</f>
        <v/>
      </c>
      <c r="K22" s="211" t="str">
        <f>IF($F22="","",VLOOKUP($F22,moneydata_vot_cycle,5))</f>
        <v/>
      </c>
      <c r="L22" s="151" t="str">
        <f>IF($F22="","",VLOOKUP($F22,moneydata_vot_cycle,6))</f>
        <v/>
      </c>
      <c r="M22" s="431" t="str">
        <f>IF($F22="","",VLOOKUP($F22,moneydata_vot_cycle,VLOOKUP(city,cities_data,4,0)))</f>
        <v/>
      </c>
      <c r="N22" s="45"/>
      <c r="O22" s="555"/>
      <c r="P22" s="113"/>
      <c r="Q22" s="684" t="str">
        <f t="shared" si="0"/>
        <v/>
      </c>
      <c r="R22" s="31"/>
      <c r="S22" s="29"/>
      <c r="T22" s="29"/>
      <c r="U22" s="29"/>
      <c r="V22" s="29"/>
    </row>
    <row r="23" spans="2:22" ht="15" customHeight="1">
      <c r="B23" s="33"/>
      <c r="C23" s="29"/>
      <c r="D23" s="47" t="s">
        <v>255</v>
      </c>
      <c r="E23" s="27"/>
      <c r="F23" s="618" t="s">
        <v>759</v>
      </c>
      <c r="G23" s="211"/>
      <c r="H23" s="211"/>
      <c r="I23" s="211"/>
      <c r="J23" s="611"/>
      <c r="K23" s="211"/>
      <c r="L23" s="151"/>
      <c r="M23" s="431"/>
      <c r="N23" s="45"/>
      <c r="O23" s="555"/>
      <c r="P23" s="113"/>
      <c r="Q23" s="684" t="str">
        <f t="shared" si="0"/>
        <v/>
      </c>
      <c r="R23" s="31"/>
      <c r="S23" s="29"/>
      <c r="T23" s="29"/>
      <c r="U23" s="29"/>
      <c r="V23" s="29"/>
    </row>
    <row r="24" spans="2:22" ht="15" customHeight="1">
      <c r="B24" s="33"/>
      <c r="C24" s="29"/>
      <c r="D24" s="47" t="s">
        <v>495</v>
      </c>
      <c r="E24" s="27"/>
      <c r="F24" s="559"/>
      <c r="G24" s="211" t="str">
        <f>IF($F24="","",VLOOKUP($F24,moneydata_vot_car,2))</f>
        <v/>
      </c>
      <c r="H24" s="211" t="str">
        <f>IF($F24="","",VLOOKUP($F24,moneydata_vot_car,3))</f>
        <v/>
      </c>
      <c r="I24" s="211" t="str">
        <f>IF($F24="","",VLOOKUP($F24,moneydata_vot_car,4))</f>
        <v/>
      </c>
      <c r="J24" s="611" t="str">
        <f>IF(AND(I24&lt;&gt;"",I24&lt;&gt;country),1,"")</f>
        <v/>
      </c>
      <c r="K24" s="211" t="str">
        <f>IF($F24="","",VLOOKUP($F24,moneydata_vot_car,5))</f>
        <v/>
      </c>
      <c r="L24" s="151" t="str">
        <f>IF($F24="","",VLOOKUP($F24,moneydata_vot_car,6))</f>
        <v/>
      </c>
      <c r="M24" s="431" t="str">
        <f>IF($F24="","",VLOOKUP($F24,moneydata_vot_car,VLOOKUP(city,cities_data,4,0)))</f>
        <v/>
      </c>
      <c r="N24" s="45"/>
      <c r="O24" s="170"/>
      <c r="P24" s="113"/>
      <c r="Q24" s="684" t="str">
        <f t="shared" si="0"/>
        <v/>
      </c>
      <c r="R24" s="31"/>
      <c r="S24" s="29"/>
      <c r="T24" s="29"/>
      <c r="U24" s="29"/>
      <c r="V24" s="29"/>
    </row>
    <row r="25" spans="2:22" ht="15" customHeight="1">
      <c r="B25" s="33"/>
      <c r="C25" s="29"/>
      <c r="D25" s="47" t="s">
        <v>474</v>
      </c>
      <c r="E25" s="27"/>
      <c r="F25" s="559"/>
      <c r="G25" s="211" t="str">
        <f>IF($F25="","",VLOOKUP($F25,moneydata_vot_car,2))</f>
        <v/>
      </c>
      <c r="H25" s="211" t="str">
        <f>IF($F25="","",VLOOKUP($F25,moneydata_vot_car,3))</f>
        <v/>
      </c>
      <c r="I25" s="211" t="str">
        <f>IF($F25="","",VLOOKUP($F25,moneydata_vot_car,4))</f>
        <v/>
      </c>
      <c r="J25" s="611" t="str">
        <f>IF(AND(I25&lt;&gt;"",I25&lt;&gt;country),1,"")</f>
        <v/>
      </c>
      <c r="K25" s="211" t="str">
        <f>IF($F25="","",VLOOKUP($F25,moneydata_vot_car,5))</f>
        <v/>
      </c>
      <c r="L25" s="151" t="str">
        <f>IF($F25="","",VLOOKUP($F25,moneydata_vot_car,6))</f>
        <v/>
      </c>
      <c r="M25" s="431" t="str">
        <f>IF($F25="","",VLOOKUP($F25,moneydata_vot_car,VLOOKUP(city,cities_data,4,0)))</f>
        <v/>
      </c>
      <c r="N25" s="45"/>
      <c r="O25" s="170"/>
      <c r="P25" s="113"/>
      <c r="Q25" s="684" t="str">
        <f t="shared" si="0"/>
        <v/>
      </c>
      <c r="R25" s="31"/>
      <c r="S25" s="29"/>
      <c r="T25" s="29"/>
      <c r="U25" s="29"/>
      <c r="V25" s="29"/>
    </row>
    <row r="26" spans="2:22" ht="15" customHeight="1">
      <c r="B26" s="33"/>
      <c r="C26" s="29"/>
      <c r="D26" s="47" t="s">
        <v>119</v>
      </c>
      <c r="E26" s="27"/>
      <c r="F26" s="559"/>
      <c r="G26" s="211" t="str">
        <f>IF($F26="","",VLOOKUP($F26,moneydata_vot_moto,2))</f>
        <v/>
      </c>
      <c r="H26" s="211" t="str">
        <f>IF($F26="","",VLOOKUP($F26,moneydata_vot_moto,3))</f>
        <v/>
      </c>
      <c r="I26" s="211" t="str">
        <f>IF($F26="","",VLOOKUP($F26,moneydata_vot_moto,4))</f>
        <v/>
      </c>
      <c r="J26" s="611" t="str">
        <f>IF(AND(I26&lt;&gt;"",I26&lt;&gt;country),1,"")</f>
        <v/>
      </c>
      <c r="K26" s="211" t="str">
        <f>IF($F26="","",VLOOKUP($F26,moneydata_vot_moto,5))</f>
        <v/>
      </c>
      <c r="L26" s="151" t="str">
        <f>IF($F26="","",VLOOKUP($F26,moneydata_vot_moto,6))</f>
        <v/>
      </c>
      <c r="M26" s="431" t="str">
        <f>IF($F26="","",VLOOKUP($F26,moneydata_vot_moto,VLOOKUP(city,cities_data,4,0)))</f>
        <v/>
      </c>
      <c r="N26" s="45"/>
      <c r="O26" s="170"/>
      <c r="P26" s="113"/>
      <c r="Q26" s="684" t="str">
        <f t="shared" si="0"/>
        <v/>
      </c>
      <c r="R26" s="31"/>
      <c r="S26" s="29"/>
      <c r="T26" s="29"/>
      <c r="U26" s="29"/>
      <c r="V26" s="29"/>
    </row>
    <row r="27" spans="2:22" ht="15" customHeight="1">
      <c r="B27" s="33"/>
      <c r="C27" s="29"/>
      <c r="D27" s="47" t="s">
        <v>475</v>
      </c>
      <c r="E27" s="27"/>
      <c r="F27" s="559"/>
      <c r="G27" s="211" t="str">
        <f>IF($F27="","",VLOOKUP($F27,moneydata_vot_gv,2))</f>
        <v/>
      </c>
      <c r="H27" s="211" t="str">
        <f>IF($F27="","",VLOOKUP($F27,moneydata_vot_gv,3))</f>
        <v/>
      </c>
      <c r="I27" s="211" t="str">
        <f>IF($F27="","",VLOOKUP($F27,moneydata_vot_gv,4))</f>
        <v/>
      </c>
      <c r="J27" s="611" t="str">
        <f>IF(AND(I27&lt;&gt;"",I27&lt;&gt;country),1,"")</f>
        <v/>
      </c>
      <c r="K27" s="211" t="str">
        <f>IF($F27="","",VLOOKUP($F27,moneydata_vot_gv,5))</f>
        <v/>
      </c>
      <c r="L27" s="151" t="str">
        <f>IF($F27="","",VLOOKUP($F27,moneydata_vot_gv,6))</f>
        <v/>
      </c>
      <c r="M27" s="431" t="str">
        <f>IF($F27="","",VLOOKUP($F27,moneydata_vot_gv,VLOOKUP(city,cities_data,4,0)))</f>
        <v/>
      </c>
      <c r="N27" s="45"/>
      <c r="O27" s="170"/>
      <c r="P27" s="113"/>
      <c r="Q27" s="684" t="str">
        <f t="shared" si="0"/>
        <v/>
      </c>
      <c r="R27" s="31"/>
      <c r="S27" s="29"/>
      <c r="T27" s="29"/>
      <c r="U27" s="29"/>
      <c r="V27" s="29"/>
    </row>
    <row r="28" spans="2:22" ht="36.75" customHeight="1">
      <c r="B28" s="33"/>
      <c r="C28" s="1086" t="s">
        <v>504</v>
      </c>
      <c r="D28" s="1086"/>
      <c r="E28" s="1086"/>
      <c r="F28" s="222"/>
      <c r="G28" s="222"/>
      <c r="H28" s="554"/>
      <c r="I28" s="554"/>
      <c r="J28" s="612"/>
      <c r="K28" s="554"/>
      <c r="L28" s="293"/>
      <c r="M28" s="623"/>
      <c r="N28" s="222"/>
      <c r="O28" s="222"/>
      <c r="P28" s="651"/>
      <c r="Q28" s="685"/>
      <c r="R28" s="31"/>
      <c r="S28" s="29"/>
      <c r="T28" s="29"/>
      <c r="U28" s="29"/>
      <c r="V28" s="29"/>
    </row>
    <row r="29" spans="2:22" ht="15" customHeight="1">
      <c r="B29" s="33"/>
      <c r="C29" s="29"/>
      <c r="D29" s="47" t="s">
        <v>14</v>
      </c>
      <c r="E29" s="27"/>
      <c r="F29" s="619" t="s">
        <v>759</v>
      </c>
      <c r="G29" s="211"/>
      <c r="H29" s="211"/>
      <c r="I29" s="211"/>
      <c r="J29" s="611"/>
      <c r="K29" s="211"/>
      <c r="L29" s="151"/>
      <c r="M29" s="431"/>
      <c r="N29" s="45"/>
      <c r="O29" s="170"/>
      <c r="P29" s="113"/>
      <c r="Q29" s="684" t="str">
        <f t="shared" ref="Q29:Q43" si="1">IF(O29="","","Value needs to be expressed as a multiplier of value of travel time savings")</f>
        <v/>
      </c>
      <c r="R29" s="31"/>
      <c r="S29" s="29"/>
      <c r="T29" s="29"/>
      <c r="U29" s="29"/>
      <c r="V29" s="29"/>
    </row>
    <row r="30" spans="2:22" ht="15" customHeight="1">
      <c r="B30" s="33"/>
      <c r="C30" s="29"/>
      <c r="D30" s="47" t="s">
        <v>43</v>
      </c>
      <c r="E30" s="27"/>
      <c r="F30" s="619" t="s">
        <v>759</v>
      </c>
      <c r="G30" s="211"/>
      <c r="H30" s="211"/>
      <c r="I30" s="211"/>
      <c r="J30" s="611"/>
      <c r="K30" s="211"/>
      <c r="L30" s="151"/>
      <c r="M30" s="431"/>
      <c r="N30" s="45"/>
      <c r="O30" s="170"/>
      <c r="P30" s="113"/>
      <c r="Q30" s="686" t="str">
        <f t="shared" si="1"/>
        <v/>
      </c>
      <c r="R30" s="31"/>
      <c r="S30" s="29"/>
      <c r="T30" s="29"/>
      <c r="U30" s="29"/>
      <c r="V30" s="29"/>
    </row>
    <row r="31" spans="2:22" ht="15" customHeight="1">
      <c r="B31" s="33"/>
      <c r="C31" s="29"/>
      <c r="D31" s="47" t="s">
        <v>255</v>
      </c>
      <c r="E31" s="27"/>
      <c r="F31" s="619" t="s">
        <v>759</v>
      </c>
      <c r="G31" s="211"/>
      <c r="H31" s="211"/>
      <c r="I31" s="211"/>
      <c r="J31" s="611"/>
      <c r="K31" s="211"/>
      <c r="L31" s="151"/>
      <c r="M31" s="431"/>
      <c r="N31" s="45"/>
      <c r="O31" s="170"/>
      <c r="P31" s="113"/>
      <c r="Q31" s="686" t="str">
        <f t="shared" si="1"/>
        <v/>
      </c>
      <c r="R31" s="31"/>
      <c r="S31" s="29"/>
      <c r="T31" s="29"/>
      <c r="U31" s="29"/>
      <c r="V31" s="29"/>
    </row>
    <row r="32" spans="2:22" ht="15" customHeight="1">
      <c r="B32" s="33"/>
      <c r="C32" s="29"/>
      <c r="D32" s="47" t="s">
        <v>495</v>
      </c>
      <c r="E32" s="27"/>
      <c r="F32" s="619" t="s">
        <v>759</v>
      </c>
      <c r="G32" s="211"/>
      <c r="H32" s="211"/>
      <c r="I32" s="211"/>
      <c r="J32" s="611"/>
      <c r="K32" s="211"/>
      <c r="L32" s="151"/>
      <c r="M32" s="431"/>
      <c r="N32" s="45"/>
      <c r="O32" s="170"/>
      <c r="P32" s="113"/>
      <c r="Q32" s="686" t="str">
        <f t="shared" si="1"/>
        <v/>
      </c>
      <c r="R32" s="31"/>
      <c r="S32" s="29"/>
      <c r="T32" s="29"/>
      <c r="U32" s="29"/>
      <c r="V32" s="29"/>
    </row>
    <row r="33" spans="2:22" ht="15" customHeight="1">
      <c r="B33" s="33"/>
      <c r="C33" s="29"/>
      <c r="D33" s="47" t="s">
        <v>474</v>
      </c>
      <c r="E33" s="27"/>
      <c r="F33" s="559"/>
      <c r="G33" s="211" t="str">
        <f>IF($F33="","",VLOOKUP($F33,moneydata_cong_car,2))</f>
        <v/>
      </c>
      <c r="H33" s="211" t="str">
        <f>IF($F33="","",VLOOKUP($F33,moneydata_cong_car,3))</f>
        <v/>
      </c>
      <c r="I33" s="211" t="str">
        <f>IF($F33="","",VLOOKUP($F33,moneydata_cong_car,4))</f>
        <v/>
      </c>
      <c r="J33" s="611" t="str">
        <f>IF(AND(I33&lt;&gt;"",I33&lt;&gt;country),1,"")</f>
        <v/>
      </c>
      <c r="K33" s="211" t="str">
        <f>IF($F33="","",VLOOKUP($F33,moneydata_cong_car,5))</f>
        <v/>
      </c>
      <c r="L33" s="151" t="str">
        <f>IF($F33="","",VLOOKUP($F33,moneydata_cong_car,6))</f>
        <v/>
      </c>
      <c r="M33" s="431" t="str">
        <f>IF($F33="","",VLOOKUP($F33,moneydata_cong_car,VLOOKUP(city,cities_data,4,0)))</f>
        <v/>
      </c>
      <c r="N33" s="45"/>
      <c r="O33" s="170"/>
      <c r="P33" s="113"/>
      <c r="Q33" s="686" t="str">
        <f t="shared" si="1"/>
        <v/>
      </c>
      <c r="R33" s="31"/>
      <c r="S33" s="29"/>
      <c r="T33" s="29"/>
      <c r="U33" s="29"/>
      <c r="V33" s="29"/>
    </row>
    <row r="34" spans="2:22" ht="15" customHeight="1">
      <c r="B34" s="33"/>
      <c r="C34" s="29"/>
      <c r="D34" s="47" t="s">
        <v>119</v>
      </c>
      <c r="E34" s="27"/>
      <c r="F34" s="619" t="s">
        <v>759</v>
      </c>
      <c r="G34" s="211"/>
      <c r="H34" s="211"/>
      <c r="I34" s="211"/>
      <c r="J34" s="611"/>
      <c r="K34" s="211"/>
      <c r="L34" s="151"/>
      <c r="M34" s="431"/>
      <c r="N34" s="45"/>
      <c r="O34" s="170"/>
      <c r="P34" s="113"/>
      <c r="Q34" s="686" t="str">
        <f t="shared" si="1"/>
        <v/>
      </c>
      <c r="R34" s="31"/>
      <c r="S34" s="29"/>
      <c r="T34" s="29"/>
      <c r="U34" s="29"/>
      <c r="V34" s="29"/>
    </row>
    <row r="35" spans="2:22" ht="15" customHeight="1">
      <c r="B35" s="33"/>
      <c r="C35" s="29"/>
      <c r="D35" s="47" t="s">
        <v>475</v>
      </c>
      <c r="E35" s="27"/>
      <c r="F35" s="619" t="s">
        <v>759</v>
      </c>
      <c r="G35" s="211"/>
      <c r="H35" s="211"/>
      <c r="I35" s="211"/>
      <c r="J35" s="611"/>
      <c r="K35" s="211"/>
      <c r="L35" s="151"/>
      <c r="M35" s="431"/>
      <c r="N35" s="45"/>
      <c r="O35" s="170"/>
      <c r="P35" s="113"/>
      <c r="Q35" s="686" t="str">
        <f t="shared" si="1"/>
        <v/>
      </c>
      <c r="R35" s="31"/>
      <c r="S35" s="29"/>
      <c r="T35" s="29"/>
      <c r="U35" s="29"/>
      <c r="V35" s="29"/>
    </row>
    <row r="36" spans="2:22" ht="15" customHeight="1">
      <c r="B36" s="33"/>
      <c r="C36" s="293" t="s">
        <v>494</v>
      </c>
      <c r="D36" s="289"/>
      <c r="E36" s="290"/>
      <c r="F36" s="554"/>
      <c r="G36" s="554"/>
      <c r="H36" s="554"/>
      <c r="I36" s="554"/>
      <c r="J36" s="612"/>
      <c r="K36" s="554"/>
      <c r="L36" s="293"/>
      <c r="M36" s="623"/>
      <c r="N36" s="554"/>
      <c r="O36" s="554"/>
      <c r="P36" s="651"/>
      <c r="Q36" s="685"/>
      <c r="R36" s="31"/>
      <c r="S36" s="29"/>
      <c r="T36" s="29"/>
      <c r="U36" s="29"/>
      <c r="V36" s="29"/>
    </row>
    <row r="37" spans="2:22" ht="15" customHeight="1">
      <c r="B37" s="33"/>
      <c r="C37" s="49"/>
      <c r="D37" s="47" t="s">
        <v>14</v>
      </c>
      <c r="E37" s="27"/>
      <c r="F37" s="559"/>
      <c r="G37" s="211" t="str">
        <f>IF($F37="","",VLOOKUP($F37,moneydata_delays_peds,2))</f>
        <v/>
      </c>
      <c r="H37" s="211" t="str">
        <f>IF($F37="","",VLOOKUP($F37,moneydata_delays_peds,3))</f>
        <v/>
      </c>
      <c r="I37" s="211" t="str">
        <f>IF($F37="","",VLOOKUP($F37,moneydata_delays_peds,4))</f>
        <v/>
      </c>
      <c r="J37" s="611" t="str">
        <f>IF(AND(I37&lt;&gt;"",I37&lt;&gt;country),1,"")</f>
        <v/>
      </c>
      <c r="K37" s="211" t="str">
        <f>IF($F37="","",VLOOKUP($F37,moneydata_delays_peds,5))</f>
        <v/>
      </c>
      <c r="L37" s="151" t="str">
        <f>IF($F37="","",VLOOKUP($F37,moneydata_delays_peds,6))</f>
        <v/>
      </c>
      <c r="M37" s="431" t="str">
        <f>IF($F37="","",VLOOKUP($F37,moneydata_delays_peds,VLOOKUP(city,cities_data,4,0)))</f>
        <v/>
      </c>
      <c r="N37" s="556"/>
      <c r="O37" s="170"/>
      <c r="P37" s="113"/>
      <c r="Q37" s="684" t="str">
        <f t="shared" si="1"/>
        <v/>
      </c>
      <c r="R37" s="31"/>
      <c r="S37" s="29"/>
      <c r="T37" s="29"/>
      <c r="U37" s="29"/>
      <c r="V37" s="29"/>
    </row>
    <row r="38" spans="2:22" ht="15" customHeight="1">
      <c r="B38" s="33"/>
      <c r="C38" s="29"/>
      <c r="D38" s="47" t="s">
        <v>43</v>
      </c>
      <c r="E38" s="27"/>
      <c r="F38" s="559"/>
      <c r="G38" s="211" t="str">
        <f>IF($F38="","",VLOOKUP($F38,moneydata_delays_cycle,2))</f>
        <v/>
      </c>
      <c r="H38" s="211" t="str">
        <f>IF($F38="","",VLOOKUP($F38,moneydata_delays_cycle,3))</f>
        <v/>
      </c>
      <c r="I38" s="211" t="str">
        <f>IF($F38="","",VLOOKUP($F38,moneydata_delays_cycle,4))</f>
        <v/>
      </c>
      <c r="J38" s="611" t="str">
        <f>IF(AND(I38&lt;&gt;"",I38&lt;&gt;country),1,"")</f>
        <v/>
      </c>
      <c r="K38" s="211" t="str">
        <f>IF($F38="","",VLOOKUP($F38,moneydata_delays_cycle,5))</f>
        <v/>
      </c>
      <c r="L38" s="151" t="str">
        <f>IF($F38="","",VLOOKUP($F38,moneydata_delays_cycle,6))</f>
        <v/>
      </c>
      <c r="M38" s="431" t="str">
        <f>IF($F38="","",VLOOKUP($F38,moneydata_delays_cycle,VLOOKUP(city,cities_data,4,0)))</f>
        <v/>
      </c>
      <c r="N38" s="45"/>
      <c r="O38" s="170"/>
      <c r="P38" s="113"/>
      <c r="Q38" s="686" t="str">
        <f t="shared" si="1"/>
        <v/>
      </c>
      <c r="R38" s="31"/>
      <c r="S38" s="29"/>
      <c r="T38" s="29"/>
      <c r="U38" s="29"/>
      <c r="V38" s="29"/>
    </row>
    <row r="39" spans="2:22" ht="15" customHeight="1">
      <c r="B39" s="33"/>
      <c r="C39" s="29"/>
      <c r="D39" s="47" t="s">
        <v>255</v>
      </c>
      <c r="E39" s="27"/>
      <c r="F39" s="619" t="s">
        <v>759</v>
      </c>
      <c r="G39" s="211"/>
      <c r="H39" s="211"/>
      <c r="I39" s="211"/>
      <c r="J39" s="611"/>
      <c r="K39" s="211"/>
      <c r="L39" s="151"/>
      <c r="M39" s="431"/>
      <c r="N39" s="45"/>
      <c r="O39" s="170"/>
      <c r="P39" s="113"/>
      <c r="Q39" s="686" t="str">
        <f t="shared" si="1"/>
        <v/>
      </c>
      <c r="R39" s="31"/>
      <c r="S39" s="29"/>
      <c r="T39" s="29"/>
      <c r="U39" s="29"/>
      <c r="V39" s="29"/>
    </row>
    <row r="40" spans="2:22" ht="15" customHeight="1">
      <c r="B40" s="33"/>
      <c r="C40" s="29"/>
      <c r="D40" s="47" t="s">
        <v>495</v>
      </c>
      <c r="E40" s="27"/>
      <c r="F40" s="559"/>
      <c r="G40" s="211" t="str">
        <f>IF($F40="","",VLOOKUP($F40,moneydata_delays_cycle,2))</f>
        <v/>
      </c>
      <c r="H40" s="211" t="str">
        <f>IF($F40="","",VLOOKUP($F40,moneydata_delays_cycle,3))</f>
        <v/>
      </c>
      <c r="I40" s="211" t="str">
        <f>IF($F40="","",VLOOKUP($F40,moneydata_delays_cycle,4))</f>
        <v/>
      </c>
      <c r="J40" s="611" t="str">
        <f>IF(AND(I40&lt;&gt;"",I40&lt;&gt;country),1,"")</f>
        <v/>
      </c>
      <c r="K40" s="211" t="str">
        <f>IF($F40="","",VLOOKUP($F40,moneydata_delays_cycle,5))</f>
        <v/>
      </c>
      <c r="L40" s="151" t="str">
        <f>IF($F40="","",VLOOKUP($F40,moneydata_delays_cycle,6))</f>
        <v/>
      </c>
      <c r="M40" s="431" t="str">
        <f>IF($F40="","",VLOOKUP($F40,moneydata_delays_cycle,VLOOKUP(city,cities_data,4,0)))</f>
        <v/>
      </c>
      <c r="N40" s="45"/>
      <c r="O40" s="170"/>
      <c r="P40" s="113"/>
      <c r="Q40" s="686" t="str">
        <f t="shared" si="1"/>
        <v/>
      </c>
      <c r="R40" s="31"/>
      <c r="S40" s="29"/>
      <c r="T40" s="29"/>
      <c r="U40" s="29"/>
      <c r="V40" s="29"/>
    </row>
    <row r="41" spans="2:22" ht="15" customHeight="1">
      <c r="B41" s="33"/>
      <c r="C41" s="29"/>
      <c r="D41" s="47" t="s">
        <v>474</v>
      </c>
      <c r="E41" s="27"/>
      <c r="F41" s="559"/>
      <c r="G41" s="211" t="str">
        <f>IF($F41="","",VLOOKUP($F41,moneydata_delays_cycle,2))</f>
        <v/>
      </c>
      <c r="H41" s="211" t="str">
        <f>IF($F41="","",VLOOKUP($F41,moneydata_delays_cycle,3))</f>
        <v/>
      </c>
      <c r="I41" s="211" t="str">
        <f>IF($F41="","",VLOOKUP($F41,moneydata_delays_cycle,4))</f>
        <v/>
      </c>
      <c r="J41" s="611" t="str">
        <f>IF(AND(I41&lt;&gt;"",I41&lt;&gt;country),1,"")</f>
        <v/>
      </c>
      <c r="K41" s="211" t="str">
        <f>IF($F41="","",VLOOKUP($F41,moneydata_delays_cycle,5))</f>
        <v/>
      </c>
      <c r="L41" s="151" t="str">
        <f>IF($F41="","",VLOOKUP($F41,moneydata_delays_cycle,6))</f>
        <v/>
      </c>
      <c r="M41" s="431" t="str">
        <f>IF($F41="","",VLOOKUP($F41,moneydata_delays_cycle,VLOOKUP(city,cities_data,4,0)))</f>
        <v/>
      </c>
      <c r="N41" s="45"/>
      <c r="O41" s="170"/>
      <c r="P41" s="113"/>
      <c r="Q41" s="686" t="str">
        <f t="shared" si="1"/>
        <v/>
      </c>
      <c r="R41" s="31"/>
      <c r="S41" s="29"/>
      <c r="T41" s="29"/>
      <c r="U41" s="29"/>
      <c r="V41" s="29"/>
    </row>
    <row r="42" spans="2:22" ht="15" customHeight="1">
      <c r="B42" s="33"/>
      <c r="C42" s="29"/>
      <c r="D42" s="47" t="s">
        <v>119</v>
      </c>
      <c r="E42" s="27"/>
      <c r="F42" s="619" t="s">
        <v>759</v>
      </c>
      <c r="G42" s="211"/>
      <c r="H42" s="211"/>
      <c r="I42" s="211"/>
      <c r="J42" s="611"/>
      <c r="K42" s="211"/>
      <c r="L42" s="151"/>
      <c r="M42" s="431"/>
      <c r="N42" s="45"/>
      <c r="O42" s="170"/>
      <c r="P42" s="113"/>
      <c r="Q42" s="686" t="str">
        <f t="shared" si="1"/>
        <v/>
      </c>
      <c r="R42" s="31"/>
      <c r="S42" s="29"/>
      <c r="T42" s="29"/>
      <c r="U42" s="29"/>
      <c r="V42" s="29"/>
    </row>
    <row r="43" spans="2:22" ht="15" customHeight="1">
      <c r="B43" s="33"/>
      <c r="C43" s="29"/>
      <c r="D43" s="47" t="s">
        <v>475</v>
      </c>
      <c r="E43" s="27"/>
      <c r="F43" s="559"/>
      <c r="G43" s="211" t="str">
        <f>IF($F43="","",VLOOKUP($F43,moneydata_delays_cycle,2))</f>
        <v/>
      </c>
      <c r="H43" s="211" t="str">
        <f>IF($F43="","",VLOOKUP($F43,moneydata_delays_cycle,3))</f>
        <v/>
      </c>
      <c r="I43" s="211" t="str">
        <f>IF($F43="","",VLOOKUP($F43,moneydata_delays_cycle,4))</f>
        <v/>
      </c>
      <c r="J43" s="611" t="str">
        <f>IF(AND(I43&lt;&gt;"",I43&lt;&gt;country),1,"")</f>
        <v/>
      </c>
      <c r="K43" s="211" t="str">
        <f>IF($F43="","",VLOOKUP($F43,moneydata_delays_cycle,5))</f>
        <v/>
      </c>
      <c r="L43" s="151" t="str">
        <f>IF($F43="","",VLOOKUP($F43,moneydata_delays_cycle,6))</f>
        <v/>
      </c>
      <c r="M43" s="431" t="str">
        <f>IF($F43="","",VLOOKUP($F43,moneydata_delays_cycle,VLOOKUP(city,cities_data,4,0)))</f>
        <v/>
      </c>
      <c r="N43" s="45"/>
      <c r="O43" s="170"/>
      <c r="P43" s="113"/>
      <c r="Q43" s="686" t="str">
        <f t="shared" si="1"/>
        <v/>
      </c>
      <c r="R43" s="31"/>
      <c r="S43" s="29"/>
      <c r="T43" s="29"/>
      <c r="U43" s="29"/>
      <c r="V43" s="29"/>
    </row>
    <row r="44" spans="2:22" ht="17.25">
      <c r="B44" s="33"/>
      <c r="C44" s="1086" t="s">
        <v>503</v>
      </c>
      <c r="D44" s="1086"/>
      <c r="E44" s="1086"/>
      <c r="F44" s="564"/>
      <c r="G44" s="564"/>
      <c r="H44" s="564"/>
      <c r="I44" s="564"/>
      <c r="J44" s="612"/>
      <c r="K44" s="564"/>
      <c r="L44" s="293"/>
      <c r="M44" s="623"/>
      <c r="N44" s="564"/>
      <c r="O44" s="564"/>
      <c r="P44" s="651"/>
      <c r="Q44" s="685"/>
      <c r="R44" s="31"/>
      <c r="S44" s="29"/>
      <c r="T44" s="29"/>
      <c r="U44" s="29"/>
      <c r="V44" s="29"/>
    </row>
    <row r="45" spans="2:22" ht="15" customHeight="1">
      <c r="B45" s="33"/>
      <c r="C45" s="29"/>
      <c r="D45" s="47" t="s">
        <v>14</v>
      </c>
      <c r="E45" s="27"/>
      <c r="F45" s="619" t="s">
        <v>759</v>
      </c>
      <c r="G45" s="211"/>
      <c r="H45" s="211"/>
      <c r="I45" s="211"/>
      <c r="J45" s="611"/>
      <c r="K45" s="211"/>
      <c r="L45" s="151"/>
      <c r="M45" s="431"/>
      <c r="N45" s="45"/>
      <c r="O45" s="170"/>
      <c r="P45" s="113"/>
      <c r="Q45" s="684" t="str">
        <f>IF(O45="","","Value needs to be expressed as a multiplier of value of travel time savings and be consistent with the indicator unit: " &amp; 'I2'!K$24)</f>
        <v/>
      </c>
      <c r="R45" s="31"/>
      <c r="S45" s="29"/>
      <c r="T45" s="29"/>
      <c r="U45" s="29"/>
      <c r="V45" s="29"/>
    </row>
    <row r="46" spans="2:22" ht="15" customHeight="1">
      <c r="B46" s="33"/>
      <c r="C46" s="29"/>
      <c r="D46" s="47" t="s">
        <v>43</v>
      </c>
      <c r="E46" s="27"/>
      <c r="F46" s="619" t="s">
        <v>759</v>
      </c>
      <c r="G46" s="211"/>
      <c r="H46" s="211"/>
      <c r="I46" s="211"/>
      <c r="J46" s="611"/>
      <c r="K46" s="211"/>
      <c r="L46" s="151"/>
      <c r="M46" s="431"/>
      <c r="N46" s="45"/>
      <c r="O46" s="170"/>
      <c r="P46" s="113"/>
      <c r="Q46" s="684" t="str">
        <f>IF(O46="","","Value needs to be expressed as a multiplier of value of travel time savings and be consistent with the indicator unit: " &amp; 'I2'!K$24)</f>
        <v/>
      </c>
      <c r="R46" s="31"/>
      <c r="S46" s="29"/>
      <c r="T46" s="29"/>
      <c r="U46" s="29"/>
      <c r="V46" s="29"/>
    </row>
    <row r="47" spans="2:22" ht="15" customHeight="1">
      <c r="B47" s="33"/>
      <c r="C47" s="29"/>
      <c r="D47" s="47" t="s">
        <v>255</v>
      </c>
      <c r="E47" s="27"/>
      <c r="F47" s="619" t="s">
        <v>759</v>
      </c>
      <c r="G47" s="211"/>
      <c r="H47" s="211"/>
      <c r="I47" s="211"/>
      <c r="J47" s="611"/>
      <c r="K47" s="211"/>
      <c r="L47" s="151"/>
      <c r="M47" s="431"/>
      <c r="N47" s="45"/>
      <c r="O47" s="170"/>
      <c r="P47" s="113"/>
      <c r="Q47" s="686" t="str">
        <f>IF(O47="","","Value needs to be expressed as a multiplier of value of travel time savings and be consistent with the indicator unit: " &amp; 'I2'!K$24)</f>
        <v/>
      </c>
      <c r="R47" s="31"/>
      <c r="S47" s="29"/>
      <c r="T47" s="29"/>
      <c r="U47" s="29"/>
      <c r="V47" s="29"/>
    </row>
    <row r="48" spans="2:22" ht="15" customHeight="1">
      <c r="B48" s="33"/>
      <c r="C48" s="29"/>
      <c r="D48" s="47" t="s">
        <v>495</v>
      </c>
      <c r="E48" s="27"/>
      <c r="F48" s="619" t="s">
        <v>759</v>
      </c>
      <c r="G48" s="211"/>
      <c r="H48" s="211"/>
      <c r="I48" s="211"/>
      <c r="J48" s="611"/>
      <c r="K48" s="211"/>
      <c r="L48" s="151"/>
      <c r="M48" s="431"/>
      <c r="N48" s="45"/>
      <c r="O48" s="170"/>
      <c r="P48" s="113"/>
      <c r="Q48" s="686" t="str">
        <f>IF(O48="","","Value needs to be expressed as a multiplier of value of travel time savings and be consistent with the indicator unit: " &amp; 'I2'!K$24)</f>
        <v/>
      </c>
      <c r="R48" s="31"/>
      <c r="S48" s="29"/>
      <c r="T48" s="29"/>
      <c r="U48" s="29"/>
      <c r="V48" s="29"/>
    </row>
    <row r="49" spans="2:22" ht="15" customHeight="1">
      <c r="B49" s="33"/>
      <c r="C49" s="29"/>
      <c r="D49" s="47" t="s">
        <v>474</v>
      </c>
      <c r="E49" s="27"/>
      <c r="F49" s="559"/>
      <c r="G49" s="211" t="str">
        <f>IF($F49="","",VLOOKUP($F49,moneydata_reliab_car,2))</f>
        <v/>
      </c>
      <c r="H49" s="211" t="str">
        <f>IF($F49="","",VLOOKUP($F49,moneydata_reliab_car,3))</f>
        <v/>
      </c>
      <c r="I49" s="211" t="str">
        <f>IF($F49="","",VLOOKUP($F49,moneydata_reliab_car,4))</f>
        <v/>
      </c>
      <c r="J49" s="611" t="str">
        <f>IF(AND(I49&lt;&gt;"",I49&lt;&gt;country),1,"")</f>
        <v/>
      </c>
      <c r="K49" s="211" t="str">
        <f>IF($F49="","",VLOOKUP($F49,moneydata_reliab_car,5))</f>
        <v/>
      </c>
      <c r="L49" s="151" t="str">
        <f>IF($F49="","",VLOOKUP($F49,moneydata_reliab_car,6))</f>
        <v/>
      </c>
      <c r="M49" s="431" t="str">
        <f>IF($F49="","",VLOOKUP($F49,moneydata_cong_car,VLOOKUP(city,cities_data,4,0)))</f>
        <v/>
      </c>
      <c r="N49" s="45"/>
      <c r="O49" s="170"/>
      <c r="P49" s="113"/>
      <c r="Q49" s="686" t="str">
        <f>IF(O49="","","Value needs to be expressed as a multiplier of value of travel time savings and be consistent with the indicator unit: " &amp; 'I2'!K$24)</f>
        <v/>
      </c>
      <c r="R49" s="31"/>
      <c r="S49" s="29"/>
      <c r="T49" s="29"/>
      <c r="U49" s="29"/>
      <c r="V49" s="29"/>
    </row>
    <row r="50" spans="2:22" ht="15" customHeight="1">
      <c r="B50" s="33"/>
      <c r="C50" s="29"/>
      <c r="D50" s="47" t="s">
        <v>119</v>
      </c>
      <c r="E50" s="27"/>
      <c r="F50" s="619" t="s">
        <v>759</v>
      </c>
      <c r="G50" s="211"/>
      <c r="H50" s="211"/>
      <c r="I50" s="211"/>
      <c r="J50" s="611"/>
      <c r="K50" s="211"/>
      <c r="L50" s="151"/>
      <c r="M50" s="431"/>
      <c r="N50" s="45"/>
      <c r="O50" s="170"/>
      <c r="P50" s="113"/>
      <c r="Q50" s="686" t="str">
        <f>IF(O50="","","Value needs to be expressed as a multiplier of value of travel time savings and be consistent with the indicator unit: " &amp; 'I2'!K$24)</f>
        <v/>
      </c>
      <c r="R50" s="31"/>
      <c r="S50" s="29"/>
      <c r="T50" s="29"/>
      <c r="U50" s="29"/>
      <c r="V50" s="29"/>
    </row>
    <row r="51" spans="2:22" ht="15" customHeight="1">
      <c r="B51" s="33"/>
      <c r="C51" s="29"/>
      <c r="D51" s="47" t="s">
        <v>475</v>
      </c>
      <c r="E51" s="27"/>
      <c r="F51" s="619" t="s">
        <v>759</v>
      </c>
      <c r="G51" s="211"/>
      <c r="H51" s="211"/>
      <c r="I51" s="211"/>
      <c r="J51" s="611"/>
      <c r="K51" s="211"/>
      <c r="L51" s="151"/>
      <c r="M51" s="431"/>
      <c r="N51" s="45"/>
      <c r="O51" s="170"/>
      <c r="P51" s="113"/>
      <c r="Q51" s="686" t="str">
        <f>IF(O51="","","Value needs to be expressed as a multiplier of value of travel time savings and be consistent with the indicator unit: " &amp; 'I2'!K$24)</f>
        <v/>
      </c>
      <c r="R51" s="31"/>
      <c r="S51" s="29"/>
      <c r="T51" s="29"/>
      <c r="U51" s="29"/>
      <c r="V51" s="29"/>
    </row>
    <row r="52" spans="2:22" ht="15" customHeight="1">
      <c r="B52" s="33"/>
      <c r="C52" s="293" t="s">
        <v>443</v>
      </c>
      <c r="D52" s="289"/>
      <c r="E52" s="290"/>
      <c r="F52" s="222"/>
      <c r="G52" s="222"/>
      <c r="H52" s="554"/>
      <c r="I52" s="554"/>
      <c r="J52" s="612"/>
      <c r="K52" s="554"/>
      <c r="L52" s="293"/>
      <c r="M52" s="623"/>
      <c r="N52" s="222"/>
      <c r="O52" s="222"/>
      <c r="P52" s="651"/>
      <c r="Q52" s="685"/>
      <c r="R52" s="31"/>
      <c r="S52" s="29"/>
      <c r="T52" s="29"/>
      <c r="U52" s="29"/>
      <c r="V52" s="29"/>
    </row>
    <row r="53" spans="2:22" ht="15" customHeight="1">
      <c r="B53" s="33"/>
      <c r="C53" s="49"/>
      <c r="D53" s="47" t="s">
        <v>444</v>
      </c>
      <c r="E53" s="27"/>
      <c r="F53" s="619" t="s">
        <v>759</v>
      </c>
      <c r="G53" s="223"/>
      <c r="H53" s="556"/>
      <c r="I53" s="556"/>
      <c r="J53" s="611" t="str">
        <f>IF(AND(I53&lt;&gt;"",I53&lt;&gt;country),1,"")</f>
        <v/>
      </c>
      <c r="K53" s="556"/>
      <c r="L53" s="49"/>
      <c r="M53" s="626"/>
      <c r="N53" s="223"/>
      <c r="O53" s="170"/>
      <c r="P53" s="113"/>
      <c r="Q53" s="684" t="str">
        <f t="shared" ref="Q53:Q57" si="2">IF(O53="","","Value needs to be per minute")</f>
        <v/>
      </c>
      <c r="R53" s="31"/>
      <c r="S53" s="29"/>
      <c r="T53" s="29"/>
      <c r="U53" s="29"/>
      <c r="V53" s="29"/>
    </row>
    <row r="54" spans="2:22" ht="15" customHeight="1">
      <c r="B54" s="33"/>
      <c r="C54" s="29"/>
      <c r="D54" s="47" t="s">
        <v>445</v>
      </c>
      <c r="E54" s="27"/>
      <c r="F54" s="559"/>
      <c r="G54" s="211" t="str">
        <f>IF($F54="","",VLOOKUP($F54,moneydata_design_cycle_track,2))</f>
        <v/>
      </c>
      <c r="H54" s="211" t="str">
        <f>IF($F54="","",VLOOKUP($F54,moneydata_design_cycle_track,3))</f>
        <v/>
      </c>
      <c r="I54" s="211" t="str">
        <f>IF($F54="","",VLOOKUP($F54,moneydata_design_cycle_track,4))</f>
        <v/>
      </c>
      <c r="J54" s="611" t="str">
        <f>IF(AND(I54&lt;&gt;"",I54&lt;&gt;country),1,"")</f>
        <v/>
      </c>
      <c r="K54" s="211" t="str">
        <f>IF($F54="","",VLOOKUP($F54,moneydata_design_cycle_track,5))</f>
        <v/>
      </c>
      <c r="L54" s="151" t="str">
        <f>IF($F54="","",VLOOKUP($F54,moneydata_design_cycle_track,6))</f>
        <v/>
      </c>
      <c r="M54" s="431" t="str">
        <f>IF($F54="","",VLOOKUP($F54,moneydata_design_cycle_track,VLOOKUP(city,cities_data,4,0)))</f>
        <v/>
      </c>
      <c r="N54" s="45"/>
      <c r="O54" s="170"/>
      <c r="P54" s="113"/>
      <c r="Q54" s="686" t="str">
        <f t="shared" si="2"/>
        <v/>
      </c>
      <c r="R54" s="31"/>
      <c r="S54" s="29"/>
      <c r="T54" s="29"/>
      <c r="U54" s="29"/>
      <c r="V54" s="29"/>
    </row>
    <row r="55" spans="2:22" ht="15" customHeight="1">
      <c r="B55" s="33"/>
      <c r="C55" s="29"/>
      <c r="D55" s="47" t="s">
        <v>446</v>
      </c>
      <c r="E55" s="27"/>
      <c r="F55" s="559"/>
      <c r="G55" s="211" t="str">
        <f>IF($F55="","",VLOOKUP($F55,moneydata_design_cycle_lane,2))</f>
        <v/>
      </c>
      <c r="H55" s="211" t="str">
        <f>IF($F55="","",VLOOKUP($F55,moneydata_design_cycle_lane,3))</f>
        <v/>
      </c>
      <c r="I55" s="211" t="str">
        <f>IF($F55="","",VLOOKUP($F55,moneydata_design_cycle_lane,4))</f>
        <v/>
      </c>
      <c r="J55" s="611" t="str">
        <f>IF(AND(I55&lt;&gt;"",I55&lt;&gt;country),1,"")</f>
        <v/>
      </c>
      <c r="K55" s="211" t="str">
        <f>IF($F55="","",VLOOKUP($F55,moneydata_design_cycle_lane,5))</f>
        <v/>
      </c>
      <c r="L55" s="151" t="str">
        <f>IF($F55="","",VLOOKUP($F55,moneydata_design_cycle_lane,6))</f>
        <v/>
      </c>
      <c r="M55" s="431" t="str">
        <f>IF($F55="","",VLOOKUP($F55,moneydata_design_cycle_lane,VLOOKUP(city,cities_data,4,0)))</f>
        <v/>
      </c>
      <c r="N55" s="45"/>
      <c r="O55" s="170"/>
      <c r="P55" s="113"/>
      <c r="Q55" s="686" t="str">
        <f t="shared" si="2"/>
        <v/>
      </c>
      <c r="R55" s="31"/>
      <c r="S55" s="29"/>
      <c r="T55" s="29"/>
      <c r="U55" s="29"/>
      <c r="V55" s="29"/>
    </row>
    <row r="56" spans="2:22" ht="15" customHeight="1">
      <c r="B56" s="33"/>
      <c r="C56" s="29"/>
      <c r="D56" s="47" t="s">
        <v>447</v>
      </c>
      <c r="E56" s="27"/>
      <c r="F56" s="559"/>
      <c r="G56" s="211" t="str">
        <f>IF($F56="","",VLOOKUP($F56,moneydata_design_cycle_wide,2))</f>
        <v/>
      </c>
      <c r="H56" s="211" t="str">
        <f>IF($F56="","",VLOOKUP($F56,moneydata_design_cycle_wide,3))</f>
        <v/>
      </c>
      <c r="I56" s="211" t="str">
        <f>IF($F56="","",VLOOKUP($F56,moneydata_design_cycle_wide,4))</f>
        <v/>
      </c>
      <c r="J56" s="611" t="str">
        <f>IF(AND(I56&lt;&gt;"",I56&lt;&gt;country),1,"")</f>
        <v/>
      </c>
      <c r="K56" s="211" t="str">
        <f>IF($F56="","",VLOOKUP($F56,moneydata_design_cycle_wide,5))</f>
        <v/>
      </c>
      <c r="L56" s="151" t="str">
        <f>IF($F56="","",VLOOKUP($F56,moneydata_design_cycle_wide,6))</f>
        <v/>
      </c>
      <c r="M56" s="431" t="str">
        <f>IF($F56="","",VLOOKUP($F56,moneydata_design_cycle_wide,VLOOKUP(city,cities_data,4,0)))</f>
        <v/>
      </c>
      <c r="N56" s="45"/>
      <c r="O56" s="170"/>
      <c r="P56" s="113"/>
      <c r="Q56" s="686" t="str">
        <f t="shared" si="2"/>
        <v/>
      </c>
      <c r="R56" s="31"/>
      <c r="S56" s="29"/>
      <c r="T56" s="29"/>
      <c r="U56" s="29"/>
      <c r="V56" s="29"/>
    </row>
    <row r="57" spans="2:22" ht="15" customHeight="1">
      <c r="B57" s="33"/>
      <c r="C57" s="59"/>
      <c r="D57" s="85" t="s">
        <v>448</v>
      </c>
      <c r="E57" s="60"/>
      <c r="F57" s="559"/>
      <c r="G57" s="298" t="str">
        <f>IF($F57="","",VLOOKUP($F57,moneydata_design_cycle_sharedbus,2))</f>
        <v/>
      </c>
      <c r="H57" s="298" t="str">
        <f>IF($F57="","",VLOOKUP($F57,moneydata_design_cycle_sharedbus,3))</f>
        <v/>
      </c>
      <c r="I57" s="298" t="str">
        <f>IF($F57="","",VLOOKUP($F57,moneydata_design_cycle_sharedbus,4))</f>
        <v/>
      </c>
      <c r="J57" s="613" t="str">
        <f>IF(AND(I57&lt;&gt;"",I57&lt;&gt;country),1,"")</f>
        <v/>
      </c>
      <c r="K57" s="298" t="str">
        <f>IF($F57="","",VLOOKUP($F57,moneydata_design_cycle_sharedbus,5))</f>
        <v/>
      </c>
      <c r="L57" s="621" t="str">
        <f>IF($F57="","",VLOOKUP($F57,moneydata_design_cycle_sharedbus,6))</f>
        <v/>
      </c>
      <c r="M57" s="625" t="str">
        <f>IF($F57="","",VLOOKUP($F57,moneydata_design_cycle_sharedbus,VLOOKUP(city,cities_data,4,0)))</f>
        <v/>
      </c>
      <c r="N57" s="91"/>
      <c r="O57" s="170"/>
      <c r="P57" s="299"/>
      <c r="Q57" s="687" t="str">
        <f t="shared" si="2"/>
        <v/>
      </c>
      <c r="R57" s="31"/>
      <c r="S57" s="29"/>
      <c r="T57" s="29"/>
      <c r="U57" s="29"/>
      <c r="V57" s="29"/>
    </row>
    <row r="58" spans="2:22" ht="7.5" customHeight="1">
      <c r="B58" s="33"/>
      <c r="C58" s="29"/>
      <c r="D58" s="47"/>
      <c r="E58" s="27"/>
      <c r="F58" s="102"/>
      <c r="G58" s="102"/>
      <c r="H58" s="211"/>
      <c r="I58" s="211"/>
      <c r="J58" s="611"/>
      <c r="K58" s="211"/>
      <c r="L58" s="151"/>
      <c r="M58" s="431"/>
      <c r="N58" s="45"/>
      <c r="O58" s="102"/>
      <c r="P58" s="211"/>
      <c r="Q58" s="686"/>
      <c r="R58" s="31"/>
      <c r="S58" s="29"/>
      <c r="T58" s="29"/>
      <c r="U58" s="29"/>
      <c r="V58" s="29"/>
    </row>
    <row r="59" spans="2:22" ht="15" customHeight="1">
      <c r="B59" s="33"/>
      <c r="C59" s="565" t="s">
        <v>108</v>
      </c>
      <c r="D59" s="85"/>
      <c r="E59" s="60"/>
      <c r="F59" s="91"/>
      <c r="G59" s="91"/>
      <c r="H59" s="91"/>
      <c r="I59" s="91"/>
      <c r="J59" s="614"/>
      <c r="K59" s="91"/>
      <c r="L59" s="621"/>
      <c r="M59" s="627"/>
      <c r="N59" s="401"/>
      <c r="O59" s="91"/>
      <c r="P59" s="91"/>
      <c r="Q59" s="687"/>
      <c r="R59" s="31"/>
      <c r="S59" s="29"/>
      <c r="T59" s="29"/>
      <c r="U59" s="29"/>
      <c r="V59" s="29"/>
    </row>
    <row r="60" spans="2:22" ht="15" customHeight="1">
      <c r="B60" s="33"/>
      <c r="C60" s="29"/>
      <c r="D60" s="47" t="s">
        <v>449</v>
      </c>
      <c r="E60" s="27"/>
      <c r="F60" s="559"/>
      <c r="G60" s="211" t="str">
        <f>IF($F60="","",VLOOKUP($F60,moneydata_park_cycle,2))</f>
        <v/>
      </c>
      <c r="H60" s="211" t="str">
        <f>IF($F60="","",VLOOKUP($F60,moneydata_park_cycle,3))</f>
        <v/>
      </c>
      <c r="I60" s="211" t="str">
        <f>IF($F60="","",VLOOKUP($F60,moneydata_park_cycle,4))</f>
        <v/>
      </c>
      <c r="J60" s="611" t="str">
        <f t="shared" ref="J60:J66" si="3">IF(AND(I60&lt;&gt;"",I60&lt;&gt;country),1,"")</f>
        <v/>
      </c>
      <c r="K60" s="211" t="str">
        <f>IF($F60="","",VLOOKUP($F60,moneydata_park_cycle,5))</f>
        <v/>
      </c>
      <c r="L60" s="151" t="str">
        <f>IF($F60="","",VLOOKUP($F60,moneydata_park_cycle,6))</f>
        <v/>
      </c>
      <c r="M60" s="431" t="str">
        <f>IF($F60="","",VLOOKUP($F60,moneydata_park_cycle,VLOOKUP(city,cities_data,4,0)))</f>
        <v/>
      </c>
      <c r="N60" s="223"/>
      <c r="O60" s="170"/>
      <c r="P60" s="113"/>
      <c r="Q60" s="684" t="str">
        <f t="shared" ref="Q60:Q66" si="4">IF(O60="","","Value needs to be per minute")</f>
        <v/>
      </c>
      <c r="R60" s="31"/>
      <c r="S60" s="29"/>
      <c r="T60" s="29"/>
      <c r="U60" s="29"/>
      <c r="V60" s="29"/>
    </row>
    <row r="61" spans="2:22" ht="15" customHeight="1">
      <c r="B61" s="33"/>
      <c r="C61" s="29"/>
      <c r="D61" s="47" t="s">
        <v>450</v>
      </c>
      <c r="E61" s="27"/>
      <c r="F61" s="619" t="s">
        <v>759</v>
      </c>
      <c r="G61" s="211"/>
      <c r="H61" s="211"/>
      <c r="I61" s="211"/>
      <c r="J61" s="611" t="str">
        <f t="shared" si="3"/>
        <v/>
      </c>
      <c r="K61" s="211"/>
      <c r="L61" s="151"/>
      <c r="M61" s="431"/>
      <c r="N61" s="223"/>
      <c r="O61" s="170"/>
      <c r="P61" s="113"/>
      <c r="Q61" s="686" t="str">
        <f t="shared" si="4"/>
        <v/>
      </c>
      <c r="R61" s="31"/>
      <c r="S61" s="29"/>
      <c r="T61" s="29"/>
      <c r="U61" s="29"/>
      <c r="V61" s="29"/>
    </row>
    <row r="62" spans="2:22" ht="15" customHeight="1">
      <c r="B62" s="33"/>
      <c r="C62" s="29"/>
      <c r="D62" s="47" t="s">
        <v>451</v>
      </c>
      <c r="E62" s="27"/>
      <c r="F62" s="619" t="s">
        <v>759</v>
      </c>
      <c r="G62" s="211"/>
      <c r="H62" s="211"/>
      <c r="I62" s="211"/>
      <c r="J62" s="611" t="str">
        <f t="shared" si="3"/>
        <v/>
      </c>
      <c r="K62" s="211"/>
      <c r="L62" s="151"/>
      <c r="M62" s="431"/>
      <c r="N62" s="223"/>
      <c r="O62" s="170"/>
      <c r="P62" s="113"/>
      <c r="Q62" s="686" t="str">
        <f t="shared" si="4"/>
        <v/>
      </c>
      <c r="R62" s="31"/>
      <c r="S62" s="29"/>
      <c r="T62" s="29"/>
      <c r="U62" s="29"/>
      <c r="V62" s="29"/>
    </row>
    <row r="63" spans="2:22" ht="15" customHeight="1">
      <c r="B63" s="33"/>
      <c r="C63" s="29"/>
      <c r="D63" s="47" t="s">
        <v>452</v>
      </c>
      <c r="E63" s="27"/>
      <c r="F63" s="619" t="s">
        <v>759</v>
      </c>
      <c r="G63" s="211"/>
      <c r="H63" s="211"/>
      <c r="I63" s="211"/>
      <c r="J63" s="611" t="str">
        <f t="shared" si="3"/>
        <v/>
      </c>
      <c r="K63" s="211"/>
      <c r="L63" s="151"/>
      <c r="M63" s="431"/>
      <c r="N63" s="223"/>
      <c r="O63" s="170"/>
      <c r="P63" s="113"/>
      <c r="Q63" s="686" t="str">
        <f t="shared" si="4"/>
        <v/>
      </c>
      <c r="R63" s="31"/>
      <c r="S63" s="29"/>
      <c r="T63" s="29"/>
      <c r="U63" s="29"/>
      <c r="V63" s="29"/>
    </row>
    <row r="64" spans="2:22" ht="15" customHeight="1">
      <c r="B64" s="33"/>
      <c r="C64" s="29"/>
      <c r="D64" s="47" t="s">
        <v>453</v>
      </c>
      <c r="E64" s="27"/>
      <c r="F64" s="619" t="s">
        <v>759</v>
      </c>
      <c r="G64" s="211"/>
      <c r="H64" s="211"/>
      <c r="I64" s="211"/>
      <c r="J64" s="611" t="str">
        <f t="shared" si="3"/>
        <v/>
      </c>
      <c r="K64" s="211"/>
      <c r="L64" s="151"/>
      <c r="M64" s="431"/>
      <c r="N64" s="223"/>
      <c r="O64" s="170"/>
      <c r="P64" s="273"/>
      <c r="Q64" s="686" t="str">
        <f t="shared" si="4"/>
        <v/>
      </c>
      <c r="R64" s="31"/>
      <c r="S64" s="29"/>
      <c r="T64" s="29"/>
      <c r="U64" s="29"/>
      <c r="V64" s="29"/>
    </row>
    <row r="65" spans="2:22" ht="15" customHeight="1">
      <c r="B65" s="33"/>
      <c r="C65" s="29"/>
      <c r="D65" s="47" t="s">
        <v>454</v>
      </c>
      <c r="E65" s="27"/>
      <c r="F65" s="619" t="s">
        <v>759</v>
      </c>
      <c r="G65" s="211"/>
      <c r="H65" s="211"/>
      <c r="I65" s="211"/>
      <c r="J65" s="611" t="str">
        <f t="shared" si="3"/>
        <v/>
      </c>
      <c r="K65" s="211"/>
      <c r="L65" s="151"/>
      <c r="M65" s="431"/>
      <c r="N65" s="223"/>
      <c r="O65" s="170"/>
      <c r="P65" s="273"/>
      <c r="Q65" s="686" t="str">
        <f t="shared" si="4"/>
        <v/>
      </c>
      <c r="R65" s="31"/>
      <c r="S65" s="29"/>
      <c r="T65" s="29"/>
      <c r="U65" s="29"/>
      <c r="V65" s="29"/>
    </row>
    <row r="66" spans="2:22" ht="15" customHeight="1">
      <c r="B66" s="33"/>
      <c r="C66" s="29"/>
      <c r="D66" s="85" t="s">
        <v>455</v>
      </c>
      <c r="E66" s="60"/>
      <c r="F66" s="620" t="s">
        <v>759</v>
      </c>
      <c r="G66" s="298"/>
      <c r="H66" s="298"/>
      <c r="I66" s="298"/>
      <c r="J66" s="613" t="str">
        <f t="shared" si="3"/>
        <v/>
      </c>
      <c r="K66" s="298"/>
      <c r="L66" s="621"/>
      <c r="M66" s="625"/>
      <c r="N66" s="224"/>
      <c r="O66" s="170"/>
      <c r="P66" s="300"/>
      <c r="Q66" s="687" t="str">
        <f t="shared" si="4"/>
        <v/>
      </c>
      <c r="R66" s="31"/>
      <c r="S66" s="29"/>
      <c r="T66" s="29"/>
      <c r="U66" s="29"/>
      <c r="V66" s="29"/>
    </row>
    <row r="67" spans="2:22" ht="7.5" customHeight="1">
      <c r="B67" s="33"/>
      <c r="C67" s="29"/>
      <c r="D67" s="47"/>
      <c r="E67" s="27"/>
      <c r="F67" s="102"/>
      <c r="G67" s="102"/>
      <c r="H67" s="211"/>
      <c r="I67" s="211"/>
      <c r="J67" s="611"/>
      <c r="K67" s="211"/>
      <c r="L67" s="151"/>
      <c r="M67" s="431"/>
      <c r="N67" s="195"/>
      <c r="O67" s="102"/>
      <c r="P67" s="211"/>
      <c r="Q67" s="686"/>
      <c r="R67" s="31"/>
      <c r="S67" s="29"/>
      <c r="T67" s="29"/>
      <c r="U67" s="29"/>
      <c r="V67" s="29"/>
    </row>
    <row r="68" spans="2:22" ht="15" customHeight="1">
      <c r="B68" s="33"/>
      <c r="C68" s="86" t="s">
        <v>109</v>
      </c>
      <c r="D68" s="85"/>
      <c r="E68" s="60"/>
      <c r="F68" s="196"/>
      <c r="G68" s="196"/>
      <c r="H68" s="557"/>
      <c r="I68" s="557"/>
      <c r="J68" s="609"/>
      <c r="K68" s="557"/>
      <c r="L68" s="622"/>
      <c r="M68" s="628"/>
      <c r="N68" s="401"/>
      <c r="O68" s="196"/>
      <c r="P68" s="653"/>
      <c r="Q68" s="688"/>
      <c r="R68" s="31"/>
      <c r="S68" s="29"/>
      <c r="T68" s="29"/>
      <c r="U68" s="29"/>
      <c r="V68" s="29"/>
    </row>
    <row r="69" spans="2:22" ht="15" customHeight="1">
      <c r="B69" s="34"/>
      <c r="C69" s="49" t="s">
        <v>24</v>
      </c>
      <c r="D69" s="49"/>
      <c r="E69" s="49"/>
      <c r="F69" s="67"/>
      <c r="G69" s="67"/>
      <c r="H69" s="67"/>
      <c r="I69" s="67"/>
      <c r="J69" s="615"/>
      <c r="K69" s="67"/>
      <c r="L69" s="67"/>
      <c r="M69" s="629"/>
      <c r="N69" s="35"/>
      <c r="O69" s="35"/>
      <c r="P69" s="35"/>
      <c r="Q69" s="673"/>
      <c r="R69" s="36"/>
      <c r="S69" s="29"/>
      <c r="T69" s="29"/>
      <c r="U69" s="29"/>
      <c r="V69" s="29"/>
    </row>
    <row r="70" spans="2:22" ht="15" customHeight="1">
      <c r="B70" s="210"/>
      <c r="C70" s="40"/>
      <c r="D70" s="40" t="s">
        <v>456</v>
      </c>
      <c r="E70" s="40"/>
      <c r="F70" s="559"/>
      <c r="G70" s="211" t="str">
        <f>IF($F70="","",VLOOKUP($F70,moneydata_fatality,2))</f>
        <v/>
      </c>
      <c r="H70" s="211" t="str">
        <f>IF($F70="","",VLOOKUP($F70,moneydata_fatality,3))</f>
        <v/>
      </c>
      <c r="I70" s="211" t="str">
        <f>IF($F70="","",VLOOKUP($F70,moneydata_fatality,4))</f>
        <v/>
      </c>
      <c r="J70" s="611" t="str">
        <f t="shared" ref="J70:J79" si="5">IF(AND(I70&lt;&gt;"",I70&lt;&gt;country),1,"")</f>
        <v/>
      </c>
      <c r="K70" s="211" t="str">
        <f>IF($F70="","",VLOOKUP($F70,moneydata_fatality,5))</f>
        <v/>
      </c>
      <c r="L70" s="151" t="str">
        <f>IF($F70="","",VLOOKUP($F70,moneydata_fatality,6))</f>
        <v/>
      </c>
      <c r="M70" s="630" t="str">
        <f>IF($F70="","",VLOOKUP($F70,moneydata_fatality,VLOOKUP(city,cities_data,4,0)))</f>
        <v/>
      </c>
      <c r="N70" s="107"/>
      <c r="O70" s="170"/>
      <c r="P70" s="113"/>
      <c r="Q70" s="684" t="str">
        <f>IF(O70="","","Value needs to be consistent with the indicator unit: " &amp; 'I4'!I30)</f>
        <v/>
      </c>
      <c r="R70" s="36"/>
      <c r="S70" s="29"/>
      <c r="T70" s="29"/>
      <c r="U70" s="29"/>
      <c r="V70" s="29"/>
    </row>
    <row r="71" spans="2:22" ht="15" customHeight="1">
      <c r="B71" s="210"/>
      <c r="C71" s="40"/>
      <c r="D71" s="40" t="s">
        <v>457</v>
      </c>
      <c r="E71" s="40"/>
      <c r="F71" s="559"/>
      <c r="G71" s="211" t="str">
        <f>IF($F71="","",VLOOKUP($F71,moneydata_serious,2))</f>
        <v/>
      </c>
      <c r="H71" s="211" t="str">
        <f>IF($F71="","",VLOOKUP($F71,moneydata_serious,3))</f>
        <v/>
      </c>
      <c r="I71" s="211" t="str">
        <f>IF($F71="","",VLOOKUP($F71,moneydata_serious,4))</f>
        <v/>
      </c>
      <c r="J71" s="611" t="str">
        <f t="shared" si="5"/>
        <v/>
      </c>
      <c r="K71" s="211" t="str">
        <f>IF($F71="","",VLOOKUP($F71,moneydata_serious,5))</f>
        <v/>
      </c>
      <c r="L71" s="151" t="str">
        <f>IF($F71="","",VLOOKUP($F71,moneydata_serious,6))</f>
        <v/>
      </c>
      <c r="M71" s="630" t="str">
        <f>IF($F71="","",VLOOKUP($F71,moneydata_serious,VLOOKUP(city,cities_data,4,0)))</f>
        <v/>
      </c>
      <c r="N71" s="107"/>
      <c r="O71" s="170"/>
      <c r="P71" s="113"/>
      <c r="Q71" s="686" t="str">
        <f>IF(O71="","","Value needs to be consistent with the indicator unit: " &amp; 'I4'!I31)</f>
        <v/>
      </c>
      <c r="R71" s="36"/>
      <c r="S71" s="29"/>
      <c r="T71" s="29"/>
      <c r="U71" s="29"/>
      <c r="V71" s="29"/>
    </row>
    <row r="72" spans="2:22" ht="15" customHeight="1">
      <c r="B72" s="210"/>
      <c r="C72" s="40"/>
      <c r="D72" s="40" t="s">
        <v>458</v>
      </c>
      <c r="E72" s="40"/>
      <c r="F72" s="559"/>
      <c r="G72" s="211" t="str">
        <f>IF($F72="","",VLOOKUP($F72,moneydata_slight,2))</f>
        <v/>
      </c>
      <c r="H72" s="211" t="str">
        <f>IF($F72="","",VLOOKUP($F72,moneydata_slight,3))</f>
        <v/>
      </c>
      <c r="I72" s="211" t="str">
        <f>IF($F72="","",VLOOKUP($F72,moneydata_slight,4))</f>
        <v/>
      </c>
      <c r="J72" s="611" t="str">
        <f t="shared" si="5"/>
        <v/>
      </c>
      <c r="K72" s="211" t="str">
        <f>IF($F72="","",VLOOKUP($F72,moneydata_slight,5))</f>
        <v/>
      </c>
      <c r="L72" s="151" t="str">
        <f>IF($F72="","",VLOOKUP($F72,moneydata_slight,6))</f>
        <v/>
      </c>
      <c r="M72" s="630" t="str">
        <f>IF($F72="","",VLOOKUP($F72,moneydata_slight,VLOOKUP(city,cities_data,4,0)))</f>
        <v/>
      </c>
      <c r="N72" s="107"/>
      <c r="O72" s="170"/>
      <c r="P72" s="113"/>
      <c r="Q72" s="686" t="str">
        <f>IF(O72="","","Value needs to be consistent with the indicator unit: " &amp; 'I4'!I32)</f>
        <v/>
      </c>
      <c r="R72" s="36"/>
      <c r="S72" s="29"/>
      <c r="T72" s="29"/>
      <c r="U72" s="29"/>
      <c r="V72" s="29"/>
    </row>
    <row r="73" spans="2:22" ht="15" customHeight="1">
      <c r="B73" s="210"/>
      <c r="C73" s="40"/>
      <c r="D73" s="40" t="s">
        <v>459</v>
      </c>
      <c r="E73" s="40"/>
      <c r="F73" s="559"/>
      <c r="G73" s="211" t="str">
        <f>IF($F73="","",VLOOKUP($F73,moneydata_damage,2))</f>
        <v/>
      </c>
      <c r="H73" s="211" t="str">
        <f>IF($F73="","",VLOOKUP($F73,moneydata_damage,3))</f>
        <v/>
      </c>
      <c r="I73" s="211" t="str">
        <f>IF($F73="","",VLOOKUP($F73,moneydata_damage,4))</f>
        <v/>
      </c>
      <c r="J73" s="611" t="str">
        <f t="shared" si="5"/>
        <v/>
      </c>
      <c r="K73" s="211" t="str">
        <f>IF($F73="","",VLOOKUP($F73,moneydata_damage,5))</f>
        <v/>
      </c>
      <c r="L73" s="151" t="str">
        <f>IF($F73="","",VLOOKUP($F73,moneydata_damage,6))</f>
        <v/>
      </c>
      <c r="M73" s="630" t="str">
        <f>IF($F73="","",VLOOKUP($F73,moneydata_damage,VLOOKUP(city,cities_data,4,0)))</f>
        <v/>
      </c>
      <c r="N73" s="107"/>
      <c r="O73" s="170"/>
      <c r="P73" s="113"/>
      <c r="Q73" s="686" t="str">
        <f>IF(O73="","","Value needs to be consistent with the indicator unit: " &amp; 'I4'!I33)</f>
        <v/>
      </c>
      <c r="R73" s="36"/>
      <c r="S73" s="29"/>
      <c r="T73" s="29"/>
      <c r="U73" s="29"/>
      <c r="V73" s="29"/>
    </row>
    <row r="74" spans="2:22" ht="15" customHeight="1">
      <c r="B74" s="30"/>
      <c r="C74" s="29"/>
      <c r="D74" s="47" t="s">
        <v>437</v>
      </c>
      <c r="E74" s="45"/>
      <c r="F74" s="559"/>
      <c r="G74" s="211" t="str">
        <f>IF($F74="","",VLOOKUP($F74,moneydata_severance,2))</f>
        <v/>
      </c>
      <c r="H74" s="211" t="str">
        <f>IF($F74="","",VLOOKUP($F74,moneydata_severance,3))</f>
        <v/>
      </c>
      <c r="I74" s="211" t="str">
        <f>IF($F74="","",VLOOKUP($F74,moneydata_severance,4))</f>
        <v/>
      </c>
      <c r="J74" s="611" t="str">
        <f t="shared" si="5"/>
        <v/>
      </c>
      <c r="K74" s="211" t="str">
        <f>IF($F74="","",VLOOKUP($F74,moneydata_severance,5))</f>
        <v/>
      </c>
      <c r="L74" s="151" t="str">
        <f>IF($F74="","",VLOOKUP($F74,moneydata_severance,6))</f>
        <v/>
      </c>
      <c r="M74" s="211" t="str">
        <f>IF($F74="","","non-linear")</f>
        <v/>
      </c>
      <c r="N74" s="45"/>
      <c r="O74" s="211"/>
      <c r="P74" s="211"/>
      <c r="Q74" s="686"/>
      <c r="R74" s="31"/>
      <c r="S74" s="29"/>
      <c r="T74" s="29"/>
      <c r="U74" s="29"/>
      <c r="V74" s="29"/>
    </row>
    <row r="75" spans="2:22" ht="15" customHeight="1">
      <c r="B75" s="30"/>
      <c r="C75" s="29"/>
      <c r="D75" s="47" t="s">
        <v>460</v>
      </c>
      <c r="E75" s="45"/>
      <c r="F75" s="619" t="s">
        <v>759</v>
      </c>
      <c r="G75" s="211"/>
      <c r="H75" s="211"/>
      <c r="I75" s="211"/>
      <c r="J75" s="611" t="str">
        <f t="shared" si="5"/>
        <v/>
      </c>
      <c r="K75" s="211"/>
      <c r="L75" s="151"/>
      <c r="M75" s="431"/>
      <c r="N75" s="45"/>
      <c r="O75" s="170"/>
      <c r="P75" s="113"/>
      <c r="Q75" s="684"/>
      <c r="R75" s="31"/>
      <c r="S75" s="29"/>
      <c r="T75" s="29"/>
      <c r="U75" s="29"/>
      <c r="V75" s="29"/>
    </row>
    <row r="76" spans="2:22" ht="15" customHeight="1">
      <c r="B76" s="30"/>
      <c r="C76" s="29"/>
      <c r="D76" s="47" t="s">
        <v>461</v>
      </c>
      <c r="E76" s="45"/>
      <c r="F76" s="619" t="s">
        <v>759</v>
      </c>
      <c r="G76" s="211"/>
      <c r="H76" s="211"/>
      <c r="I76" s="211"/>
      <c r="J76" s="611" t="str">
        <f t="shared" si="5"/>
        <v/>
      </c>
      <c r="K76" s="211"/>
      <c r="L76" s="151"/>
      <c r="M76" s="431"/>
      <c r="N76" s="45"/>
      <c r="O76" s="170"/>
      <c r="P76" s="113"/>
      <c r="Q76" s="686"/>
      <c r="R76" s="31"/>
      <c r="S76" s="29"/>
      <c r="T76" s="29"/>
      <c r="U76" s="29"/>
      <c r="V76" s="29"/>
    </row>
    <row r="77" spans="2:22" ht="15" customHeight="1">
      <c r="B77" s="30"/>
      <c r="C77" s="29"/>
      <c r="D77" s="47" t="s">
        <v>462</v>
      </c>
      <c r="E77" s="45"/>
      <c r="F77" s="619" t="s">
        <v>759</v>
      </c>
      <c r="G77" s="211"/>
      <c r="H77" s="211"/>
      <c r="I77" s="211"/>
      <c r="J77" s="611" t="str">
        <f t="shared" si="5"/>
        <v/>
      </c>
      <c r="K77" s="211"/>
      <c r="L77" s="151"/>
      <c r="M77" s="431"/>
      <c r="N77" s="45"/>
      <c r="O77" s="170"/>
      <c r="P77" s="113"/>
      <c r="Q77" s="686"/>
      <c r="R77" s="31"/>
      <c r="S77" s="29"/>
      <c r="T77" s="29"/>
      <c r="U77" s="29"/>
      <c r="V77" s="29"/>
    </row>
    <row r="78" spans="2:22" ht="15" customHeight="1">
      <c r="B78" s="30"/>
      <c r="C78" s="29"/>
      <c r="D78" s="47" t="s">
        <v>463</v>
      </c>
      <c r="E78" s="45"/>
      <c r="F78" s="619" t="s">
        <v>759</v>
      </c>
      <c r="G78" s="211"/>
      <c r="H78" s="211"/>
      <c r="I78" s="211"/>
      <c r="J78" s="611" t="str">
        <f t="shared" si="5"/>
        <v/>
      </c>
      <c r="K78" s="211"/>
      <c r="L78" s="151"/>
      <c r="M78" s="431"/>
      <c r="N78" s="45"/>
      <c r="O78" s="170"/>
      <c r="P78" s="113"/>
      <c r="Q78" s="686"/>
      <c r="R78" s="31"/>
      <c r="S78" s="29"/>
      <c r="T78" s="29"/>
      <c r="U78" s="29"/>
      <c r="V78" s="29"/>
    </row>
    <row r="79" spans="2:22" ht="15" customHeight="1">
      <c r="B79" s="30"/>
      <c r="C79" s="59"/>
      <c r="D79" s="85" t="s">
        <v>464</v>
      </c>
      <c r="E79" s="91"/>
      <c r="F79" s="620" t="s">
        <v>759</v>
      </c>
      <c r="G79" s="298"/>
      <c r="H79" s="298"/>
      <c r="I79" s="298"/>
      <c r="J79" s="613" t="str">
        <f t="shared" si="5"/>
        <v/>
      </c>
      <c r="K79" s="298"/>
      <c r="L79" s="621"/>
      <c r="M79" s="625"/>
      <c r="N79" s="91"/>
      <c r="O79" s="170"/>
      <c r="P79" s="299"/>
      <c r="Q79" s="687"/>
      <c r="R79" s="31"/>
      <c r="S79" s="29"/>
      <c r="T79" s="29"/>
      <c r="U79" s="29"/>
      <c r="V79" s="29"/>
    </row>
    <row r="80" spans="2:22" ht="15" customHeight="1">
      <c r="B80" s="30"/>
      <c r="C80" s="209" t="s">
        <v>25</v>
      </c>
      <c r="D80" s="47"/>
      <c r="E80" s="45"/>
      <c r="F80" s="45"/>
      <c r="G80" s="45"/>
      <c r="H80" s="45"/>
      <c r="I80" s="45"/>
      <c r="J80" s="616"/>
      <c r="K80" s="45"/>
      <c r="L80" s="151"/>
      <c r="M80" s="624"/>
      <c r="N80" s="45"/>
      <c r="O80" s="45"/>
      <c r="P80" s="45"/>
      <c r="Q80" s="686"/>
      <c r="R80" s="31"/>
      <c r="S80" s="29"/>
      <c r="T80" s="29"/>
      <c r="U80" s="29"/>
      <c r="V80" s="29"/>
    </row>
    <row r="81" spans="2:22" ht="15" customHeight="1">
      <c r="B81" s="30"/>
      <c r="C81" s="209"/>
      <c r="D81" s="47" t="s">
        <v>465</v>
      </c>
      <c r="E81" s="45"/>
      <c r="F81" s="619" t="s">
        <v>759</v>
      </c>
      <c r="G81" s="211"/>
      <c r="H81" s="211"/>
      <c r="I81" s="211"/>
      <c r="J81" s="611" t="str">
        <f t="shared" ref="J81:J89" si="6">IF(AND(I81&lt;&gt;"",I81&lt;&gt;country),1,"")</f>
        <v/>
      </c>
      <c r="K81" s="211"/>
      <c r="L81" s="151"/>
      <c r="M81" s="431"/>
      <c r="N81" s="45"/>
      <c r="O81" s="170"/>
      <c r="P81" s="113"/>
      <c r="Q81" s="686"/>
      <c r="R81" s="31"/>
      <c r="S81" s="29"/>
      <c r="T81" s="29"/>
      <c r="U81" s="29"/>
      <c r="V81" s="29"/>
    </row>
    <row r="82" spans="2:22" ht="15" customHeight="1">
      <c r="B82" s="30"/>
      <c r="C82" s="209"/>
      <c r="D82" s="47" t="s">
        <v>466</v>
      </c>
      <c r="E82" s="45"/>
      <c r="F82" s="559"/>
      <c r="G82" s="211" t="str">
        <f>IF($F82="","",VLOOKUP($F82,moneydata_pm10,2))</f>
        <v/>
      </c>
      <c r="H82" s="211" t="str">
        <f>IF($F82="","",VLOOKUP($F82,moneydata_pm10,3))</f>
        <v/>
      </c>
      <c r="I82" s="211" t="str">
        <f>IF($F82="","",VLOOKUP($F82,moneydata_pm10,4))</f>
        <v/>
      </c>
      <c r="J82" s="611" t="str">
        <f t="shared" si="6"/>
        <v/>
      </c>
      <c r="K82" s="211" t="str">
        <f>IF($F82="","",VLOOKUP($F82,moneydata_pm10,5))</f>
        <v/>
      </c>
      <c r="L82" s="151" t="str">
        <f>IF($F82="","",VLOOKUP($F82,moneydata_pm10,6))</f>
        <v/>
      </c>
      <c r="M82" s="431" t="str">
        <f>IF($F82="","",VLOOKUP($F82,moneydata_pm10,VLOOKUP(city,cities_data,4,0)))</f>
        <v/>
      </c>
      <c r="N82" s="45"/>
      <c r="O82" s="170"/>
      <c r="P82" s="113"/>
      <c r="Q82" s="684" t="str">
        <f>IF(O82="","","Value needs to be consistent with the indicator unit: " &amp; 'I4'!I39)</f>
        <v/>
      </c>
      <c r="R82" s="31"/>
      <c r="S82" s="29"/>
      <c r="T82" s="29"/>
      <c r="U82" s="29"/>
      <c r="V82" s="29"/>
    </row>
    <row r="83" spans="2:22" ht="15" customHeight="1">
      <c r="B83" s="30"/>
      <c r="C83" s="209"/>
      <c r="D83" s="47" t="s">
        <v>467</v>
      </c>
      <c r="E83" s="45"/>
      <c r="F83" s="559"/>
      <c r="G83" s="211" t="str">
        <f>IF($F83="","",VLOOKUP($F83,moneydata_pm2,2))</f>
        <v/>
      </c>
      <c r="H83" s="211" t="str">
        <f>IF($F83="","",VLOOKUP($F83,moneydata_pm2,3))</f>
        <v/>
      </c>
      <c r="I83" s="211" t="str">
        <f>IF($F83="","",VLOOKUP($F83,moneydata_pm2,4))</f>
        <v/>
      </c>
      <c r="J83" s="611" t="str">
        <f t="shared" si="6"/>
        <v/>
      </c>
      <c r="K83" s="211" t="str">
        <f>IF($F83="","",VLOOKUP($F83,moneydata_pm2,5))</f>
        <v/>
      </c>
      <c r="L83" s="151" t="str">
        <f>IF($F83="","",VLOOKUP($F83,moneydata_pm2,6))</f>
        <v/>
      </c>
      <c r="M83" s="431" t="str">
        <f>IF($F83="","",VLOOKUP($F83,moneydata_pm2,VLOOKUP(city,cities_data,4,0)))</f>
        <v/>
      </c>
      <c r="N83" s="45"/>
      <c r="O83" s="170"/>
      <c r="P83" s="113"/>
      <c r="Q83" s="686" t="str">
        <f>IF(O83="","","Value needs to be consistent with the indicator unit: " &amp; 'I4'!I40)</f>
        <v/>
      </c>
      <c r="R83" s="31"/>
      <c r="S83" s="29"/>
      <c r="T83" s="29"/>
      <c r="U83" s="29"/>
      <c r="V83" s="29"/>
    </row>
    <row r="84" spans="2:22" ht="15" customHeight="1">
      <c r="B84" s="30"/>
      <c r="C84" s="209"/>
      <c r="D84" s="47" t="s">
        <v>468</v>
      </c>
      <c r="E84" s="45"/>
      <c r="F84" s="559"/>
      <c r="G84" s="211" t="str">
        <f>IF($F84="","",VLOOKUP($F84,moneydata_no2,2))</f>
        <v/>
      </c>
      <c r="H84" s="211" t="str">
        <f>IF($F84="","",VLOOKUP($F84,moneydata_no2,3))</f>
        <v/>
      </c>
      <c r="I84" s="211" t="str">
        <f>IF($F84="","",VLOOKUP($F84,moneydata_no2,4))</f>
        <v/>
      </c>
      <c r="J84" s="611" t="str">
        <f t="shared" si="6"/>
        <v/>
      </c>
      <c r="K84" s="211" t="str">
        <f>IF($F84="","",VLOOKUP($F84,moneydata_no2,5))</f>
        <v/>
      </c>
      <c r="L84" s="151" t="str">
        <f>IF($F84="","",VLOOKUP($F84,moneydata_no2,6))</f>
        <v/>
      </c>
      <c r="M84" s="431" t="str">
        <f>IF($F84="","",VLOOKUP($F84,moneydata_no2,VLOOKUP(city,cities_data,4,0)))</f>
        <v/>
      </c>
      <c r="N84" s="45"/>
      <c r="O84" s="170"/>
      <c r="P84" s="113"/>
      <c r="Q84" s="686" t="str">
        <f>IF(O84="","","Value needs to be consistent with the indicator unit: " &amp; 'I4'!I41)</f>
        <v/>
      </c>
      <c r="R84" s="31"/>
      <c r="S84" s="29"/>
      <c r="T84" s="29"/>
      <c r="U84" s="29"/>
      <c r="V84" s="29"/>
    </row>
    <row r="85" spans="2:22" ht="15" customHeight="1">
      <c r="B85" s="30"/>
      <c r="C85" s="209"/>
      <c r="D85" s="47" t="s">
        <v>440</v>
      </c>
      <c r="E85" s="45"/>
      <c r="F85" s="559"/>
      <c r="G85" s="211" t="str">
        <f>IF($F85="","",VLOOKUP($F85,moneydata_noise,2))</f>
        <v/>
      </c>
      <c r="H85" s="211" t="str">
        <f>IF($F85="","",VLOOKUP($F85,moneydata_noise,3))</f>
        <v/>
      </c>
      <c r="I85" s="211" t="str">
        <f>IF($F85="","",VLOOKUP($F85,moneydata_noise,4))</f>
        <v/>
      </c>
      <c r="J85" s="611" t="str">
        <f t="shared" si="6"/>
        <v/>
      </c>
      <c r="K85" s="211" t="str">
        <f>IF($F85="","",VLOOKUP($F85,moneydata_noise,5))</f>
        <v/>
      </c>
      <c r="L85" s="151" t="str">
        <f>IF($F85="","",VLOOKUP($F85,moneydata_noise,6))</f>
        <v/>
      </c>
      <c r="M85" s="211" t="str">
        <f>IF($F85="","","non-linear")</f>
        <v/>
      </c>
      <c r="N85" s="45"/>
      <c r="O85" s="170"/>
      <c r="P85" s="113"/>
      <c r="Q85" s="686"/>
      <c r="R85" s="31"/>
      <c r="S85" s="29"/>
      <c r="T85" s="29"/>
      <c r="U85" s="29"/>
      <c r="V85" s="29"/>
    </row>
    <row r="86" spans="2:22" ht="15" customHeight="1">
      <c r="B86" s="30"/>
      <c r="C86" s="209"/>
      <c r="D86" s="47" t="s">
        <v>469</v>
      </c>
      <c r="E86" s="45"/>
      <c r="F86" s="619" t="s">
        <v>759</v>
      </c>
      <c r="G86" s="211"/>
      <c r="H86" s="211"/>
      <c r="I86" s="211"/>
      <c r="J86" s="611" t="str">
        <f t="shared" si="6"/>
        <v/>
      </c>
      <c r="K86" s="211"/>
      <c r="L86" s="151"/>
      <c r="M86" s="431"/>
      <c r="N86" s="45"/>
      <c r="O86" s="170"/>
      <c r="P86" s="113"/>
      <c r="Q86" s="686"/>
      <c r="R86" s="31"/>
      <c r="S86" s="29"/>
      <c r="T86" s="29"/>
      <c r="U86" s="29"/>
      <c r="V86" s="29"/>
    </row>
    <row r="87" spans="2:22" ht="15" customHeight="1">
      <c r="B87" s="30"/>
      <c r="C87" s="209"/>
      <c r="D87" s="47" t="s">
        <v>470</v>
      </c>
      <c r="E87" s="45"/>
      <c r="F87" s="619" t="s">
        <v>759</v>
      </c>
      <c r="G87" s="211"/>
      <c r="H87" s="211"/>
      <c r="I87" s="211"/>
      <c r="J87" s="611" t="str">
        <f t="shared" si="6"/>
        <v/>
      </c>
      <c r="K87" s="211"/>
      <c r="L87" s="151"/>
      <c r="M87" s="431"/>
      <c r="N87" s="45"/>
      <c r="O87" s="170"/>
      <c r="P87" s="113"/>
      <c r="Q87" s="686"/>
      <c r="R87" s="31"/>
      <c r="S87" s="29"/>
      <c r="T87" s="29"/>
      <c r="U87" s="29"/>
      <c r="V87" s="29"/>
    </row>
    <row r="88" spans="2:22" ht="15" customHeight="1">
      <c r="B88" s="30"/>
      <c r="C88" s="209"/>
      <c r="D88" s="47" t="s">
        <v>471</v>
      </c>
      <c r="E88" s="45"/>
      <c r="F88" s="619" t="s">
        <v>759</v>
      </c>
      <c r="G88" s="211"/>
      <c r="H88" s="211"/>
      <c r="I88" s="211"/>
      <c r="J88" s="611" t="str">
        <f t="shared" si="6"/>
        <v/>
      </c>
      <c r="K88" s="211"/>
      <c r="L88" s="151"/>
      <c r="M88" s="431"/>
      <c r="N88" s="45"/>
      <c r="O88" s="170"/>
      <c r="P88" s="113"/>
      <c r="Q88" s="686"/>
      <c r="R88" s="31"/>
      <c r="S88" s="29"/>
      <c r="T88" s="29"/>
      <c r="U88" s="29"/>
      <c r="V88" s="29"/>
    </row>
    <row r="89" spans="2:22" ht="15" customHeight="1">
      <c r="B89" s="30"/>
      <c r="C89" s="59"/>
      <c r="D89" s="85" t="s">
        <v>438</v>
      </c>
      <c r="E89" s="91"/>
      <c r="F89" s="620" t="s">
        <v>759</v>
      </c>
      <c r="G89" s="298"/>
      <c r="H89" s="298"/>
      <c r="I89" s="298"/>
      <c r="J89" s="613" t="str">
        <f t="shared" si="6"/>
        <v/>
      </c>
      <c r="K89" s="298"/>
      <c r="L89" s="621"/>
      <c r="M89" s="625"/>
      <c r="N89" s="91"/>
      <c r="O89" s="170"/>
      <c r="P89" s="299"/>
      <c r="Q89" s="687"/>
      <c r="R89" s="31"/>
      <c r="S89" s="29"/>
      <c r="T89" s="29"/>
      <c r="U89" s="29"/>
      <c r="V89" s="29"/>
    </row>
    <row r="90" spans="2:22" ht="15" customHeight="1" thickBot="1">
      <c r="B90" s="37"/>
      <c r="C90" s="38"/>
      <c r="D90" s="38"/>
      <c r="E90" s="38"/>
      <c r="F90" s="38"/>
      <c r="G90" s="38"/>
      <c r="H90" s="38"/>
      <c r="I90" s="38"/>
      <c r="J90" s="617"/>
      <c r="K90" s="38"/>
      <c r="L90" s="38"/>
      <c r="M90" s="38"/>
      <c r="N90" s="38"/>
      <c r="O90" s="38"/>
      <c r="P90" s="38"/>
      <c r="Q90" s="38"/>
      <c r="R90" s="39"/>
    </row>
    <row r="91" spans="2:22" ht="15" customHeight="1"/>
    <row r="92" spans="2:22" ht="15" hidden="1" customHeight="1"/>
    <row r="93" spans="2:22" ht="15" customHeight="1"/>
    <row r="94" spans="2:22" ht="0" hidden="1" customHeight="1"/>
    <row r="95" spans="2:22" ht="0" hidden="1" customHeight="1"/>
    <row r="96" spans="2:22" ht="0" hidden="1" customHeight="1"/>
    <row r="97" spans="10:10" ht="0" hidden="1" customHeight="1">
      <c r="J97" s="28"/>
    </row>
    <row r="98" spans="10:10" ht="0" hidden="1" customHeight="1">
      <c r="J98" s="28"/>
    </row>
    <row r="99" spans="10:10" ht="0" hidden="1" customHeight="1">
      <c r="J99" s="28"/>
    </row>
    <row r="100" spans="10:10" ht="0" hidden="1" customHeight="1">
      <c r="J100" s="28"/>
    </row>
    <row r="101" spans="10:10" ht="0" hidden="1" customHeight="1">
      <c r="J101" s="28"/>
    </row>
    <row r="102" spans="10:10" ht="0" hidden="1" customHeight="1">
      <c r="J102" s="28"/>
    </row>
    <row r="103" spans="10:10" ht="0" hidden="1" customHeight="1">
      <c r="J103" s="28"/>
    </row>
    <row r="104" spans="10:10" ht="0" hidden="1" customHeight="1">
      <c r="J104" s="28"/>
    </row>
    <row r="105" spans="10:10" ht="0" hidden="1" customHeight="1">
      <c r="J105" s="28"/>
    </row>
    <row r="106" spans="10:10" ht="0" hidden="1" customHeight="1">
      <c r="J106" s="28"/>
    </row>
    <row r="107" spans="10:10" ht="0" hidden="1" customHeight="1">
      <c r="J107" s="28"/>
    </row>
    <row r="108" spans="10:10" ht="0" hidden="1" customHeight="1">
      <c r="J108" s="28"/>
    </row>
    <row r="109" spans="10:10" ht="0" hidden="1" customHeight="1">
      <c r="J109" s="28"/>
    </row>
    <row r="110" spans="10:10" ht="0" hidden="1" customHeight="1">
      <c r="J110" s="28"/>
    </row>
  </sheetData>
  <mergeCells count="3">
    <mergeCell ref="C28:E28"/>
    <mergeCell ref="C44:E44"/>
    <mergeCell ref="O18:P18"/>
  </mergeCells>
  <dataValidations count="23">
    <dataValidation type="list" allowBlank="1" showInputMessage="1" showErrorMessage="1" sqref="N89">
      <formula1>n_xfacilities</formula1>
    </dataValidation>
    <dataValidation type="list" allowBlank="1" showInputMessage="1" showErrorMessage="1" sqref="F54">
      <formula1>list_CBA_design_cycle_track</formula1>
    </dataValidation>
    <dataValidation type="list" allowBlank="1" showInputMessage="1" showErrorMessage="1" sqref="F55">
      <formula1>list_CBA_design_cycle_lane</formula1>
    </dataValidation>
    <dataValidation type="list" allowBlank="1" showInputMessage="1" showErrorMessage="1" sqref="F56">
      <formula1>list_CBA_design_cycle_wide</formula1>
    </dataValidation>
    <dataValidation type="list" allowBlank="1" showInputMessage="1" showErrorMessage="1" sqref="F57">
      <formula1>list_CBA_design_cycle_sharedbus</formula1>
    </dataValidation>
    <dataValidation type="list" allowBlank="1" showInputMessage="1" showErrorMessage="1" sqref="F60">
      <formula1>list_CBA_park_cycle</formula1>
    </dataValidation>
    <dataValidation type="list" allowBlank="1" showInputMessage="1" showErrorMessage="1" sqref="F70">
      <formula1>list_CBA_fatality</formula1>
    </dataValidation>
    <dataValidation type="list" allowBlank="1" showInputMessage="1" showErrorMessage="1" sqref="F74">
      <formula1>list_CBA_severance</formula1>
    </dataValidation>
    <dataValidation type="list" allowBlank="1" showInputMessage="1" showErrorMessage="1" sqref="F84">
      <formula1>list_CBA_no2</formula1>
    </dataValidation>
    <dataValidation type="list" allowBlank="1" showInputMessage="1" showErrorMessage="1" sqref="F85">
      <formula1>list_CBA_noise</formula1>
    </dataValidation>
    <dataValidation type="list" allowBlank="1" showInputMessage="1" showErrorMessage="1" sqref="F37">
      <formula1>list_CBA_delays_peds</formula1>
    </dataValidation>
    <dataValidation type="list" allowBlank="1" showInputMessage="1" showErrorMessage="1" sqref="F38 F40:F41 F43">
      <formula1>list_CBA_delays_cycle</formula1>
    </dataValidation>
    <dataValidation type="list" allowBlank="1" showInputMessage="1" showErrorMessage="1" sqref="F33 F49">
      <formula1>list_CBA_cong_car</formula1>
    </dataValidation>
    <dataValidation type="list" allowBlank="1" showInputMessage="1" showErrorMessage="1" sqref="F26">
      <formula1>list_CBA_vot_moto</formula1>
    </dataValidation>
    <dataValidation type="list" allowBlank="1" showInputMessage="1" showErrorMessage="1" sqref="F27">
      <formula1>list_CBA_vot_gv</formula1>
    </dataValidation>
    <dataValidation type="list" allowBlank="1" showInputMessage="1" showErrorMessage="1" sqref="F24:F25">
      <formula1>list_CBA_vot_car</formula1>
    </dataValidation>
    <dataValidation type="list" allowBlank="1" showInputMessage="1" showErrorMessage="1" sqref="F22">
      <formula1>list_CBA_vot_cyclists</formula1>
    </dataValidation>
    <dataValidation type="list" allowBlank="1" showInputMessage="1" showErrorMessage="1" sqref="F21">
      <formula1>list_CBA_vot_peds</formula1>
    </dataValidation>
    <dataValidation type="list" allowBlank="1" showInputMessage="1" showErrorMessage="1" sqref="F71">
      <formula1>list_CBA_serious</formula1>
    </dataValidation>
    <dataValidation type="list" allowBlank="1" showInputMessage="1" showErrorMessage="1" sqref="F72">
      <formula1>list_CBA_slight</formula1>
    </dataValidation>
    <dataValidation type="list" allowBlank="1" showInputMessage="1" showErrorMessage="1" sqref="F73">
      <formula1>list_CBA_damage</formula1>
    </dataValidation>
    <dataValidation type="list" allowBlank="1" showInputMessage="1" showErrorMessage="1" sqref="F82">
      <formula1>list_CBA_pm10</formula1>
    </dataValidation>
    <dataValidation type="list" allowBlank="1" showInputMessage="1" showErrorMessage="1" sqref="F83">
      <formula1>list_CBA_pm2</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E51935"/>
  </sheetPr>
  <dimension ref="A1:BY189"/>
  <sheetViews>
    <sheetView zoomScale="90" zoomScaleNormal="90" workbookViewId="0">
      <selection activeCell="G23" sqref="G23"/>
    </sheetView>
  </sheetViews>
  <sheetFormatPr defaultColWidth="0" defaultRowHeight="0" customHeight="1" zeroHeight="1"/>
  <cols>
    <col min="1" max="1" width="3.85546875" style="28" customWidth="1"/>
    <col min="2" max="2" width="2.42578125" style="28" customWidth="1"/>
    <col min="3" max="3" width="3.140625" style="28" customWidth="1"/>
    <col min="4" max="4" width="12" style="28" customWidth="1"/>
    <col min="5" max="5" width="21.28515625" style="28" customWidth="1"/>
    <col min="6" max="6" width="72.85546875" style="28" bestFit="1" customWidth="1"/>
    <col min="7" max="7" width="28.42578125" style="28" bestFit="1" customWidth="1"/>
    <col min="8" max="8" width="59.85546875" style="28" customWidth="1"/>
    <col min="9" max="9" width="5.85546875" style="28" customWidth="1"/>
    <col min="10" max="12" width="26.7109375" style="28" customWidth="1"/>
    <col min="13" max="13" width="27" style="28" customWidth="1"/>
    <col min="14" max="14" width="27.140625" style="28" customWidth="1"/>
    <col min="15" max="15" width="24.85546875" style="28" customWidth="1"/>
    <col min="16" max="16" width="1.7109375" style="28" customWidth="1"/>
    <col min="17" max="21" width="17.5703125" style="28" customWidth="1"/>
    <col min="22" max="22" width="2.5703125" style="28" customWidth="1"/>
    <col min="23" max="23" width="3.7109375" style="28" customWidth="1"/>
    <col min="24" max="77" width="0" style="28" hidden="1" customWidth="1"/>
    <col min="78" max="16384" width="8.85546875" style="28" hidden="1"/>
  </cols>
  <sheetData>
    <row r="1" spans="1:26" ht="15" customHeight="1" thickBot="1">
      <c r="W1" s="29"/>
      <c r="X1" s="29"/>
      <c r="Y1" s="29"/>
      <c r="Z1" s="29"/>
    </row>
    <row r="2" spans="1:26" ht="24.95" customHeight="1" thickBot="1">
      <c r="A2" s="29"/>
      <c r="B2" s="657" t="s">
        <v>49</v>
      </c>
      <c r="C2" s="661"/>
      <c r="D2" s="661"/>
      <c r="E2" s="661"/>
      <c r="F2" s="661"/>
      <c r="G2" s="661"/>
      <c r="H2" s="661"/>
      <c r="I2" s="661"/>
      <c r="J2" s="661"/>
      <c r="K2" s="661"/>
      <c r="L2" s="661"/>
      <c r="M2" s="661"/>
      <c r="N2" s="661"/>
      <c r="O2" s="661"/>
      <c r="P2" s="661"/>
      <c r="Q2" s="661"/>
      <c r="R2" s="661"/>
      <c r="S2" s="661"/>
      <c r="T2" s="661"/>
      <c r="U2" s="661"/>
      <c r="V2" s="662"/>
      <c r="W2" s="29"/>
      <c r="X2" s="29"/>
      <c r="Y2" s="29"/>
      <c r="Z2" s="29"/>
    </row>
    <row r="3" spans="1:26" ht="9.9499999999999993" customHeight="1">
      <c r="A3" s="29"/>
      <c r="B3" s="42"/>
      <c r="C3" s="43"/>
      <c r="D3" s="43"/>
      <c r="E3" s="43"/>
      <c r="F3" s="43"/>
      <c r="G3" s="43"/>
      <c r="H3" s="43"/>
      <c r="I3" s="43"/>
      <c r="J3" s="43"/>
      <c r="K3" s="43"/>
      <c r="L3" s="43"/>
      <c r="M3" s="43"/>
      <c r="N3" s="43"/>
      <c r="O3" s="43"/>
      <c r="P3" s="43"/>
      <c r="Q3" s="43"/>
      <c r="R3" s="43"/>
      <c r="S3" s="43"/>
      <c r="T3" s="43"/>
      <c r="U3" s="43"/>
      <c r="V3" s="44"/>
      <c r="W3" s="29"/>
      <c r="X3" s="29"/>
      <c r="Y3" s="29"/>
      <c r="Z3" s="29"/>
    </row>
    <row r="4" spans="1:26" ht="15" customHeight="1">
      <c r="A4" s="29"/>
      <c r="B4" s="42"/>
      <c r="C4" s="69" t="s">
        <v>4</v>
      </c>
      <c r="D4" s="669"/>
      <c r="E4" s="669"/>
      <c r="F4" s="669"/>
      <c r="G4" s="669"/>
      <c r="H4" s="669"/>
      <c r="I4" s="670"/>
      <c r="J4" s="216"/>
      <c r="K4" s="216"/>
      <c r="L4" s="216"/>
      <c r="M4" s="216"/>
      <c r="N4" s="216"/>
      <c r="O4" s="216"/>
      <c r="P4" s="216"/>
      <c r="Q4" s="216"/>
      <c r="R4" s="216"/>
      <c r="S4" s="216"/>
      <c r="T4" s="216"/>
      <c r="U4" s="216"/>
      <c r="V4" s="44"/>
      <c r="W4" s="29"/>
      <c r="X4" s="29"/>
      <c r="Y4" s="29"/>
      <c r="Z4" s="29"/>
    </row>
    <row r="5" spans="1:26" ht="15" customHeight="1">
      <c r="B5" s="30"/>
      <c r="C5" s="142" t="s">
        <v>79</v>
      </c>
      <c r="D5" s="240" t="s">
        <v>131</v>
      </c>
      <c r="E5" s="240"/>
      <c r="F5" s="240"/>
      <c r="G5" s="240"/>
      <c r="H5" s="240"/>
      <c r="I5" s="241"/>
      <c r="J5" s="240"/>
      <c r="K5" s="240"/>
      <c r="L5" s="240"/>
      <c r="M5" s="240"/>
      <c r="N5" s="240"/>
      <c r="O5" s="240"/>
      <c r="P5" s="240"/>
      <c r="Q5" s="240"/>
      <c r="R5" s="27"/>
      <c r="S5" s="27"/>
      <c r="T5" s="27"/>
      <c r="U5" s="27"/>
      <c r="V5" s="31"/>
      <c r="W5" s="29"/>
      <c r="X5" s="29"/>
      <c r="Y5" s="29"/>
      <c r="Z5" s="29"/>
    </row>
    <row r="6" spans="1:26" ht="15" customHeight="1">
      <c r="B6" s="30"/>
      <c r="C6" s="142" t="s">
        <v>79</v>
      </c>
      <c r="D6" s="214" t="s">
        <v>767</v>
      </c>
      <c r="E6" s="665"/>
      <c r="F6" s="665"/>
      <c r="G6" s="665"/>
      <c r="H6" s="665"/>
      <c r="I6" s="666"/>
      <c r="J6" s="665"/>
      <c r="K6" s="665"/>
      <c r="L6" s="213"/>
      <c r="M6" s="213"/>
      <c r="N6" s="213"/>
      <c r="O6" s="213"/>
      <c r="P6" s="214"/>
      <c r="Q6" s="214"/>
      <c r="R6" s="237"/>
      <c r="S6" s="237"/>
      <c r="T6" s="194"/>
      <c r="U6" s="194"/>
      <c r="V6" s="31"/>
      <c r="W6" s="29"/>
      <c r="X6" s="29"/>
      <c r="Y6" s="29"/>
      <c r="Z6" s="29"/>
    </row>
    <row r="7" spans="1:26" ht="15" customHeight="1">
      <c r="B7" s="30"/>
      <c r="C7" s="142" t="s">
        <v>79</v>
      </c>
      <c r="D7" s="214" t="s">
        <v>132</v>
      </c>
      <c r="E7" s="665"/>
      <c r="F7" s="665"/>
      <c r="G7" s="665"/>
      <c r="H7" s="665"/>
      <c r="I7" s="666"/>
      <c r="J7" s="665"/>
      <c r="K7" s="665"/>
      <c r="L7" s="665"/>
      <c r="M7" s="237"/>
      <c r="N7" s="237"/>
      <c r="O7" s="237"/>
      <c r="P7" s="237"/>
      <c r="Q7" s="237"/>
      <c r="R7" s="237"/>
      <c r="S7" s="237"/>
      <c r="T7" s="194"/>
      <c r="U7" s="194"/>
      <c r="V7" s="31"/>
      <c r="W7" s="29"/>
      <c r="X7" s="29"/>
      <c r="Y7" s="29"/>
      <c r="Z7" s="29"/>
    </row>
    <row r="8" spans="1:26" ht="15" customHeight="1">
      <c r="B8" s="30"/>
      <c r="C8" s="142" t="s">
        <v>79</v>
      </c>
      <c r="D8" s="214" t="s">
        <v>152</v>
      </c>
      <c r="E8" s="665"/>
      <c r="F8" s="665"/>
      <c r="G8" s="665"/>
      <c r="H8" s="665"/>
      <c r="I8" s="666"/>
      <c r="J8" s="665"/>
      <c r="K8" s="665"/>
      <c r="L8" s="665"/>
      <c r="M8" s="237"/>
      <c r="N8" s="237"/>
      <c r="O8" s="237"/>
      <c r="P8" s="237"/>
      <c r="Q8" s="237"/>
      <c r="R8" s="237"/>
      <c r="S8" s="237"/>
      <c r="T8" s="194"/>
      <c r="U8" s="194"/>
      <c r="V8" s="31"/>
      <c r="W8" s="29"/>
      <c r="X8" s="29"/>
      <c r="Y8" s="29"/>
      <c r="Z8" s="29"/>
    </row>
    <row r="9" spans="1:26" ht="15" customHeight="1">
      <c r="B9" s="30"/>
      <c r="C9" s="142" t="s">
        <v>79</v>
      </c>
      <c r="D9" s="63" t="s">
        <v>572</v>
      </c>
      <c r="E9" s="671"/>
      <c r="F9" s="671"/>
      <c r="G9" s="671"/>
      <c r="H9" s="671"/>
      <c r="I9" s="672"/>
      <c r="J9" s="671"/>
      <c r="K9" s="671"/>
      <c r="L9" s="671"/>
      <c r="M9" s="239"/>
      <c r="N9" s="239"/>
      <c r="O9" s="239"/>
      <c r="P9" s="239"/>
      <c r="Q9" s="239"/>
      <c r="R9" s="239"/>
      <c r="S9" s="239"/>
      <c r="T9" s="203"/>
      <c r="U9" s="203"/>
      <c r="V9" s="31"/>
      <c r="W9" s="29"/>
      <c r="X9" s="29"/>
      <c r="Y9" s="29"/>
      <c r="Z9" s="29"/>
    </row>
    <row r="10" spans="1:26" ht="8.25" customHeight="1">
      <c r="B10" s="32"/>
      <c r="C10" s="56"/>
      <c r="D10" s="27"/>
      <c r="E10" s="27"/>
      <c r="F10" s="27"/>
      <c r="G10" s="27"/>
      <c r="H10" s="27"/>
      <c r="I10" s="57"/>
      <c r="J10" s="27"/>
      <c r="K10" s="27"/>
      <c r="L10" s="27"/>
      <c r="M10" s="27"/>
      <c r="N10" s="27"/>
      <c r="O10" s="27"/>
      <c r="P10" s="27"/>
      <c r="Q10" s="27"/>
      <c r="R10" s="27"/>
      <c r="S10" s="27"/>
      <c r="T10" s="27"/>
      <c r="U10" s="27"/>
      <c r="V10" s="31"/>
      <c r="W10" s="29"/>
      <c r="X10" s="29"/>
      <c r="Y10" s="29"/>
      <c r="Z10" s="29"/>
    </row>
    <row r="11" spans="1:26" ht="15" customHeight="1">
      <c r="B11" s="32"/>
      <c r="C11" s="58" t="s">
        <v>11</v>
      </c>
      <c r="D11" s="29"/>
      <c r="E11" s="29"/>
      <c r="F11" s="27"/>
      <c r="G11" s="27"/>
      <c r="H11" s="27"/>
      <c r="I11" s="57"/>
      <c r="J11" s="27"/>
      <c r="K11" s="27"/>
      <c r="L11" s="27"/>
      <c r="M11" s="27"/>
      <c r="N11" s="27"/>
      <c r="O11" s="27"/>
      <c r="P11" s="27"/>
      <c r="Q11" s="27"/>
      <c r="R11" s="27"/>
      <c r="S11" s="27"/>
      <c r="T11" s="27"/>
      <c r="U11" s="27"/>
      <c r="V11" s="31"/>
      <c r="W11" s="29"/>
      <c r="X11" s="29"/>
      <c r="Y11" s="29"/>
      <c r="Z11" s="29"/>
    </row>
    <row r="12" spans="1:26" ht="15" customHeight="1">
      <c r="B12" s="32"/>
      <c r="C12" s="184" t="s">
        <v>33</v>
      </c>
      <c r="D12" s="63" t="s">
        <v>69</v>
      </c>
      <c r="E12" s="63"/>
      <c r="F12" s="27"/>
      <c r="G12" s="27"/>
      <c r="H12" s="27"/>
      <c r="I12" s="57"/>
      <c r="J12" s="27"/>
      <c r="K12" s="27"/>
      <c r="L12" s="27"/>
      <c r="M12" s="27"/>
      <c r="N12" s="27"/>
      <c r="O12" s="27"/>
      <c r="P12" s="27"/>
      <c r="Q12" s="27"/>
      <c r="R12" s="27"/>
      <c r="S12" s="27"/>
      <c r="T12" s="27"/>
      <c r="U12" s="27"/>
      <c r="V12" s="31"/>
      <c r="W12" s="29"/>
      <c r="X12" s="29"/>
      <c r="Y12" s="29"/>
      <c r="Z12" s="29"/>
    </row>
    <row r="13" spans="1:26" ht="15" customHeight="1">
      <c r="B13" s="32"/>
      <c r="C13" s="185" t="s">
        <v>33</v>
      </c>
      <c r="D13" s="64" t="s">
        <v>70</v>
      </c>
      <c r="E13" s="64"/>
      <c r="F13" s="60"/>
      <c r="G13" s="60"/>
      <c r="H13" s="60"/>
      <c r="I13" s="61"/>
      <c r="J13" s="27"/>
      <c r="K13" s="27"/>
      <c r="L13" s="27"/>
      <c r="M13" s="27"/>
      <c r="N13" s="27"/>
      <c r="O13" s="27"/>
      <c r="P13" s="27"/>
      <c r="Q13" s="27"/>
      <c r="R13" s="27"/>
      <c r="S13" s="27"/>
      <c r="T13" s="27"/>
      <c r="U13" s="27"/>
      <c r="V13" s="31"/>
      <c r="W13" s="29"/>
      <c r="X13" s="29"/>
      <c r="Y13" s="29"/>
      <c r="Z13" s="29"/>
    </row>
    <row r="14" spans="1:26" ht="15" customHeight="1">
      <c r="B14" s="24"/>
      <c r="F14" s="97"/>
      <c r="G14" s="97"/>
      <c r="H14" s="97"/>
      <c r="I14" s="97"/>
      <c r="J14" s="97"/>
      <c r="K14" s="97"/>
      <c r="L14" s="97"/>
      <c r="M14" s="97"/>
      <c r="N14" s="97"/>
      <c r="O14" s="97"/>
      <c r="P14" s="97"/>
      <c r="Q14" s="97"/>
      <c r="R14" s="97"/>
      <c r="S14" s="97"/>
      <c r="T14" s="97"/>
      <c r="U14" s="97"/>
      <c r="V14" s="20"/>
      <c r="W14" s="29"/>
      <c r="X14" s="29"/>
      <c r="Y14" s="29"/>
      <c r="Z14" s="29"/>
    </row>
    <row r="15" spans="1:26" ht="15" customHeight="1">
      <c r="B15" s="24"/>
      <c r="C15" s="655" t="s">
        <v>502</v>
      </c>
      <c r="D15" s="168"/>
      <c r="E15" s="168"/>
      <c r="G15" s="966" t="str">
        <f>IF(years="","",years)</f>
        <v/>
      </c>
      <c r="H15" s="1088" t="str">
        <f>IF(G15="","!! No information was provided on page I1 on the number of years over which to estimate benefits. Some benefits cannot be calculated. The synthesis in the table below can not be performed. Fill number of years on page I1", "")</f>
        <v>!! No information was provided on page I1 on the number of years over which to estimate benefits. Some benefits cannot be calculated. The synthesis in the table below can not be performed. Fill number of years on page I1</v>
      </c>
      <c r="I15" s="1088"/>
      <c r="K15" s="97"/>
      <c r="L15" s="97"/>
      <c r="M15" s="97"/>
      <c r="N15" s="97"/>
      <c r="O15" s="97"/>
      <c r="P15" s="97"/>
      <c r="Q15" s="97"/>
      <c r="R15" s="97"/>
      <c r="S15" s="97"/>
      <c r="T15" s="97"/>
      <c r="U15" s="97"/>
      <c r="V15" s="20"/>
      <c r="W15" s="29"/>
      <c r="X15" s="29"/>
      <c r="Y15" s="29"/>
      <c r="Z15" s="29"/>
    </row>
    <row r="16" spans="1:26" ht="15" customHeight="1">
      <c r="B16" s="24"/>
      <c r="C16" s="558" t="s">
        <v>350</v>
      </c>
      <c r="D16" s="558"/>
      <c r="E16" s="558"/>
      <c r="G16" s="597" t="str">
        <f>IF(currency="","",currency)</f>
        <v/>
      </c>
      <c r="H16" s="1088"/>
      <c r="I16" s="1088"/>
      <c r="K16" s="97"/>
      <c r="L16" s="97"/>
      <c r="M16" s="97"/>
      <c r="N16" s="97"/>
      <c r="O16" s="97"/>
      <c r="P16" s="97"/>
      <c r="Q16" s="97"/>
      <c r="R16" s="97"/>
      <c r="S16" s="97"/>
      <c r="T16" s="97"/>
      <c r="U16" s="97"/>
      <c r="V16" s="20"/>
      <c r="W16" s="29"/>
      <c r="X16" s="29"/>
      <c r="Y16" s="29"/>
      <c r="Z16" s="29"/>
    </row>
    <row r="17" spans="2:26" ht="15" customHeight="1">
      <c r="B17" s="24"/>
      <c r="D17" s="168"/>
      <c r="E17" s="168"/>
      <c r="F17" s="168"/>
      <c r="G17" s="655"/>
      <c r="H17" s="1088"/>
      <c r="I17" s="1088"/>
      <c r="J17" s="97"/>
      <c r="K17" s="97"/>
      <c r="L17" s="97"/>
      <c r="M17" s="97"/>
      <c r="N17" s="97"/>
      <c r="O17" s="97"/>
      <c r="P17" s="97"/>
      <c r="Q17" s="97"/>
      <c r="R17" s="97"/>
      <c r="S17" s="97"/>
      <c r="T17" s="97"/>
      <c r="U17" s="97"/>
      <c r="V17" s="20"/>
      <c r="W17" s="29"/>
      <c r="X17" s="29"/>
      <c r="Y17" s="29"/>
      <c r="Z17" s="29"/>
    </row>
    <row r="18" spans="2:26" ht="18" customHeight="1">
      <c r="B18" s="24"/>
      <c r="C18" s="252" t="s">
        <v>510</v>
      </c>
      <c r="D18" s="168"/>
      <c r="E18" s="168"/>
      <c r="F18" s="97"/>
      <c r="G18" s="97"/>
      <c r="H18" s="97"/>
      <c r="I18" s="97"/>
      <c r="J18" s="97"/>
      <c r="K18" s="97"/>
      <c r="L18" s="97"/>
      <c r="M18" s="97"/>
      <c r="N18" s="97"/>
      <c r="O18" s="97"/>
      <c r="P18" s="97"/>
      <c r="Q18" s="97"/>
      <c r="R18" s="97"/>
      <c r="S18" s="97"/>
      <c r="T18" s="97"/>
      <c r="U18" s="97"/>
      <c r="V18" s="20"/>
      <c r="W18" s="29"/>
      <c r="X18" s="29"/>
      <c r="Y18" s="29"/>
      <c r="Z18" s="29"/>
    </row>
    <row r="19" spans="2:26" ht="15" customHeight="1" thickBot="1">
      <c r="B19" s="24"/>
      <c r="F19" s="97"/>
      <c r="G19" s="97"/>
      <c r="H19" s="97"/>
      <c r="I19" s="97"/>
      <c r="J19" s="97"/>
      <c r="K19" s="97"/>
      <c r="L19" s="97"/>
      <c r="M19" s="97"/>
      <c r="N19" s="97"/>
      <c r="O19" s="97"/>
      <c r="P19" s="97"/>
      <c r="Q19" s="97"/>
      <c r="R19" s="97"/>
      <c r="S19" s="97"/>
      <c r="T19" s="97"/>
      <c r="U19" s="97"/>
      <c r="V19" s="20"/>
      <c r="W19" s="29"/>
      <c r="X19" s="29"/>
      <c r="Y19" s="29"/>
      <c r="Z19" s="29"/>
    </row>
    <row r="20" spans="2:26" ht="30" customHeight="1" thickBot="1">
      <c r="B20" s="24"/>
      <c r="D20" s="247"/>
      <c r="E20" s="250"/>
      <c r="F20" s="249" t="str">
        <f>IF(years="","Net benefit","Net benefit (over "&amp;years&amp;" years)")</f>
        <v>Net benefit</v>
      </c>
      <c r="G20" s="680" t="s">
        <v>511</v>
      </c>
      <c r="H20" s="654"/>
      <c r="I20" s="654"/>
      <c r="J20" s="29"/>
      <c r="K20" s="556"/>
      <c r="L20" s="601"/>
      <c r="M20" s="97"/>
      <c r="N20" s="97"/>
      <c r="O20" s="97"/>
      <c r="P20" s="97"/>
      <c r="Q20" s="97"/>
      <c r="R20" s="97"/>
      <c r="S20" s="97"/>
      <c r="T20" s="97"/>
      <c r="U20" s="97"/>
      <c r="V20" s="20"/>
      <c r="W20" s="29"/>
      <c r="X20" s="29"/>
      <c r="Y20" s="29"/>
      <c r="Z20" s="29"/>
    </row>
    <row r="21" spans="2:26" ht="15" customHeight="1">
      <c r="B21" s="24"/>
      <c r="D21" s="260" t="s">
        <v>512</v>
      </c>
      <c r="E21" s="271" t="str">
        <f>IF(code0="","",'I1'!F36)</f>
        <v/>
      </c>
      <c r="F21" s="598"/>
      <c r="G21" s="663"/>
      <c r="H21" s="598"/>
      <c r="I21" s="598"/>
      <c r="J21" s="29"/>
      <c r="K21" s="412"/>
      <c r="L21" s="97"/>
      <c r="M21" s="97"/>
      <c r="N21" s="97"/>
      <c r="O21" s="97"/>
      <c r="P21" s="97"/>
      <c r="Q21" s="97"/>
      <c r="R21" s="97"/>
      <c r="S21" s="97"/>
      <c r="T21" s="97"/>
      <c r="U21" s="97"/>
      <c r="V21" s="20"/>
      <c r="W21" s="29"/>
      <c r="X21" s="29"/>
      <c r="Y21" s="29"/>
      <c r="Z21" s="29"/>
    </row>
    <row r="22" spans="2:26" ht="15" customHeight="1">
      <c r="B22" s="24"/>
      <c r="D22" s="260" t="s">
        <v>5</v>
      </c>
      <c r="E22" s="271" t="str">
        <f>IF(code1="","",'I1'!H36)</f>
        <v/>
      </c>
      <c r="F22" s="599" t="str">
        <f>IF(OR(code1="",years=""),"",SUM(Q$36:Q$186))</f>
        <v/>
      </c>
      <c r="G22" s="731" t="str">
        <f>IF(OR(code1="",years=""),"",SUMIF(Q36:Q185,"&gt;0")/(-SUMIF(Q36:Q185,"&lt;0")))</f>
        <v/>
      </c>
      <c r="H22" s="599"/>
      <c r="I22" s="599"/>
      <c r="J22" s="29"/>
      <c r="K22" s="412"/>
      <c r="L22" s="97"/>
      <c r="M22" s="97"/>
      <c r="N22" s="97"/>
      <c r="O22" s="97"/>
      <c r="P22" s="97"/>
      <c r="Q22" s="97"/>
      <c r="R22" s="97"/>
      <c r="S22" s="97"/>
      <c r="T22" s="97"/>
      <c r="U22" s="97"/>
      <c r="V22" s="20"/>
      <c r="W22" s="29"/>
      <c r="X22" s="29"/>
      <c r="Y22" s="29"/>
      <c r="Z22" s="29"/>
    </row>
    <row r="23" spans="2:26" ht="15" customHeight="1">
      <c r="B23" s="24"/>
      <c r="D23" s="260" t="s">
        <v>6</v>
      </c>
      <c r="E23" s="271" t="str">
        <f>IF(code2="","",'I1'!J36)</f>
        <v/>
      </c>
      <c r="F23" s="599" t="str">
        <f>IF(OR(code2="",years=""),"",SUM(R$36:R$186))</f>
        <v/>
      </c>
      <c r="G23" s="731" t="str">
        <f>IF(OR(code2="",years=""),"",SUMIF(R36:R185,"&gt;0")/(-SUMIF(R36:R185,"&lt;0")))</f>
        <v/>
      </c>
      <c r="H23" s="599"/>
      <c r="I23" s="599"/>
      <c r="J23" s="29"/>
      <c r="K23" s="251"/>
      <c r="L23" s="97"/>
      <c r="M23" s="97"/>
      <c r="N23" s="97"/>
      <c r="O23" s="97"/>
      <c r="P23" s="97"/>
      <c r="Q23" s="97"/>
      <c r="R23" s="97"/>
      <c r="S23" s="97"/>
      <c r="T23" s="97"/>
      <c r="U23" s="97"/>
      <c r="V23" s="20"/>
      <c r="W23" s="29"/>
      <c r="X23" s="29"/>
      <c r="Y23" s="29"/>
      <c r="Z23" s="29"/>
    </row>
    <row r="24" spans="2:26" ht="15" customHeight="1">
      <c r="B24" s="24"/>
      <c r="D24" s="260" t="s">
        <v>7</v>
      </c>
      <c r="E24" s="271" t="str">
        <f>IF(code3="","",'I1'!L36)</f>
        <v/>
      </c>
      <c r="F24" s="599" t="str">
        <f>IF(OR(code3="",years=""),"",SUM(S$36:S$186))</f>
        <v/>
      </c>
      <c r="G24" s="731" t="str">
        <f>IF(OR(code3="",years=""),"",SUMIF(S36:S185,"&gt;0")/(-SUMIF(S36:S185,"&lt;0")))</f>
        <v/>
      </c>
      <c r="H24" s="599"/>
      <c r="I24" s="599"/>
      <c r="J24" s="29"/>
      <c r="K24" s="251"/>
      <c r="L24" s="97"/>
      <c r="M24" s="97"/>
      <c r="N24" s="97"/>
      <c r="O24" s="97"/>
      <c r="P24" s="97"/>
      <c r="Q24" s="97"/>
      <c r="R24" s="97"/>
      <c r="S24" s="97"/>
      <c r="T24" s="97"/>
      <c r="U24" s="97"/>
      <c r="V24" s="20"/>
      <c r="W24" s="29"/>
      <c r="X24" s="29"/>
      <c r="Y24" s="29"/>
      <c r="Z24" s="29"/>
    </row>
    <row r="25" spans="2:26" ht="15" customHeight="1">
      <c r="B25" s="24"/>
      <c r="D25" s="260" t="s">
        <v>8</v>
      </c>
      <c r="E25" s="271" t="str">
        <f>IF(code4="","",'I1'!N36)</f>
        <v/>
      </c>
      <c r="F25" s="599" t="str">
        <f>IF(OR(code4="",years=""),"",SUM(T$36:T$186))</f>
        <v/>
      </c>
      <c r="G25" s="731" t="str">
        <f>IF(OR(code4="",years=""),"",SUMIF(T36:T185,"&gt;0")/(-SUMIF(T36:T185,"&lt;0")))</f>
        <v/>
      </c>
      <c r="H25" s="599"/>
      <c r="I25" s="599"/>
      <c r="J25" s="29"/>
      <c r="K25" s="251"/>
      <c r="L25" s="97"/>
      <c r="M25" s="97"/>
      <c r="N25" s="97"/>
      <c r="O25" s="97"/>
      <c r="P25" s="97"/>
      <c r="Q25" s="97"/>
      <c r="R25" s="97"/>
      <c r="S25" s="97"/>
      <c r="T25" s="97"/>
      <c r="U25" s="97"/>
      <c r="V25" s="20"/>
      <c r="W25" s="29"/>
      <c r="X25" s="29"/>
      <c r="Y25" s="29"/>
      <c r="Z25" s="29"/>
    </row>
    <row r="26" spans="2:26" ht="15" customHeight="1" thickBot="1">
      <c r="B26" s="24"/>
      <c r="D26" s="261" t="s">
        <v>9</v>
      </c>
      <c r="E26" s="272" t="str">
        <f>IF(code5="","",'I1'!P36)</f>
        <v/>
      </c>
      <c r="F26" s="600" t="str">
        <f>IF(OR(code5="",years=""),"",SUM(U$36:U$186))</f>
        <v/>
      </c>
      <c r="G26" s="664" t="str">
        <f>IF(OR(code5="",years=""),"",SUMIF(U37:U186,"&gt;0")/(-SUMIF(U37:U186,"&lt;0")))</f>
        <v/>
      </c>
      <c r="H26" s="599"/>
      <c r="I26" s="599"/>
      <c r="J26" s="29"/>
      <c r="K26" s="97"/>
      <c r="L26" s="97"/>
      <c r="M26" s="97"/>
      <c r="N26" s="97"/>
      <c r="O26" s="97"/>
      <c r="P26" s="97"/>
      <c r="Q26" s="97"/>
      <c r="R26" s="97"/>
      <c r="S26" s="97"/>
      <c r="T26" s="97"/>
      <c r="U26" s="97"/>
      <c r="V26" s="20"/>
      <c r="W26" s="29"/>
      <c r="X26" s="29"/>
      <c r="Y26" s="29"/>
      <c r="Z26" s="29"/>
    </row>
    <row r="27" spans="2:26" ht="15" customHeight="1">
      <c r="B27" s="24"/>
      <c r="D27" s="244"/>
      <c r="E27" s="244"/>
      <c r="F27" s="245"/>
      <c r="G27" s="245"/>
      <c r="H27" s="245"/>
      <c r="I27" s="245"/>
      <c r="J27" s="97"/>
      <c r="K27" s="97"/>
      <c r="L27" s="97"/>
      <c r="M27" s="97"/>
      <c r="N27" s="97"/>
      <c r="O27" s="97"/>
      <c r="P27" s="97"/>
      <c r="Q27" s="97"/>
      <c r="R27" s="97"/>
      <c r="S27" s="97"/>
      <c r="T27" s="97"/>
      <c r="U27" s="97"/>
      <c r="V27" s="20"/>
      <c r="W27" s="29"/>
      <c r="X27" s="29"/>
      <c r="Y27" s="29"/>
      <c r="Z27" s="29"/>
    </row>
    <row r="28" spans="2:26" ht="15" customHeight="1">
      <c r="B28" s="24"/>
      <c r="D28" s="244"/>
      <c r="E28" s="244"/>
      <c r="F28" s="245"/>
      <c r="G28" s="245"/>
      <c r="H28" s="245"/>
      <c r="I28" s="245"/>
      <c r="J28" s="97"/>
      <c r="K28" s="97"/>
      <c r="L28" s="97"/>
      <c r="M28" s="97"/>
      <c r="N28" s="97"/>
      <c r="O28" s="97"/>
      <c r="P28" s="97"/>
      <c r="Q28" s="97"/>
      <c r="R28" s="97"/>
      <c r="S28" s="97"/>
      <c r="T28" s="97"/>
      <c r="U28" s="97"/>
      <c r="V28" s="20"/>
      <c r="W28" s="29"/>
      <c r="X28" s="29"/>
      <c r="Y28" s="29"/>
      <c r="Z28" s="29"/>
    </row>
    <row r="29" spans="2:26" ht="15" customHeight="1">
      <c r="B29" s="24"/>
      <c r="C29" s="252" t="s">
        <v>509</v>
      </c>
      <c r="D29" s="168"/>
      <c r="E29" s="168"/>
      <c r="F29" s="97"/>
      <c r="G29" s="97"/>
      <c r="H29" s="97"/>
      <c r="I29" s="97"/>
      <c r="J29" s="97"/>
      <c r="K29" s="97"/>
      <c r="L29" s="97"/>
      <c r="M29" s="97"/>
      <c r="N29" s="97"/>
      <c r="O29" s="97"/>
      <c r="P29" s="97"/>
      <c r="Q29" s="97"/>
      <c r="R29" s="97"/>
      <c r="S29" s="97"/>
      <c r="T29" s="97"/>
      <c r="U29" s="97"/>
      <c r="V29" s="20"/>
      <c r="W29" s="29"/>
      <c r="X29" s="29"/>
      <c r="Y29" s="29"/>
      <c r="Z29" s="29"/>
    </row>
    <row r="30" spans="2:26" ht="15" customHeight="1">
      <c r="B30" s="24"/>
      <c r="F30" s="97"/>
      <c r="G30" s="97"/>
      <c r="H30" s="97"/>
      <c r="I30" s="97"/>
      <c r="J30" s="97"/>
      <c r="K30" s="97"/>
      <c r="L30" s="97"/>
      <c r="M30" s="97"/>
      <c r="N30" s="97"/>
      <c r="O30" s="97"/>
      <c r="P30" s="97"/>
      <c r="Q30" s="97"/>
      <c r="R30" s="97"/>
      <c r="S30" s="97"/>
      <c r="T30" s="97"/>
      <c r="U30" s="97"/>
      <c r="V30" s="20"/>
      <c r="W30" s="29"/>
      <c r="X30" s="29"/>
      <c r="Y30" s="29"/>
      <c r="Z30" s="29"/>
    </row>
    <row r="31" spans="2:26" ht="15" customHeight="1">
      <c r="B31" s="33"/>
      <c r="C31" s="1058" t="s">
        <v>396</v>
      </c>
      <c r="D31" s="1058"/>
      <c r="E31" s="1058"/>
      <c r="F31" s="1061" t="s">
        <v>35</v>
      </c>
      <c r="G31" s="1089" t="s">
        <v>501</v>
      </c>
      <c r="H31" s="1061" t="s">
        <v>496</v>
      </c>
      <c r="I31" s="656"/>
      <c r="J31" s="1087" t="s">
        <v>498</v>
      </c>
      <c r="K31" s="1087"/>
      <c r="L31" s="1087"/>
      <c r="M31" s="1087"/>
      <c r="N31" s="1087"/>
      <c r="O31" s="1087"/>
      <c r="P31" s="195"/>
      <c r="Q31" s="1009" t="s">
        <v>499</v>
      </c>
      <c r="R31" s="1009"/>
      <c r="S31" s="1009"/>
      <c r="T31" s="1009"/>
      <c r="U31" s="1009"/>
      <c r="V31" s="31"/>
      <c r="W31" s="29"/>
      <c r="X31" s="29"/>
      <c r="Y31" s="29"/>
      <c r="Z31" s="29"/>
    </row>
    <row r="32" spans="2:26" ht="15" customHeight="1">
      <c r="B32" s="33"/>
      <c r="C32" s="1059"/>
      <c r="D32" s="1059"/>
      <c r="E32" s="1059"/>
      <c r="F32" s="1062"/>
      <c r="G32" s="1090"/>
      <c r="H32" s="1062"/>
      <c r="I32" s="656"/>
      <c r="J32" s="649" t="s">
        <v>497</v>
      </c>
      <c r="K32" s="74" t="s">
        <v>392</v>
      </c>
      <c r="L32" s="74" t="s">
        <v>393</v>
      </c>
      <c r="M32" s="74" t="s">
        <v>339</v>
      </c>
      <c r="N32" s="74" t="s">
        <v>340</v>
      </c>
      <c r="O32" s="75" t="s">
        <v>341</v>
      </c>
      <c r="P32" s="76"/>
      <c r="Q32" s="74" t="s">
        <v>392</v>
      </c>
      <c r="R32" s="74" t="s">
        <v>393</v>
      </c>
      <c r="S32" s="74" t="s">
        <v>339</v>
      </c>
      <c r="T32" s="74" t="s">
        <v>340</v>
      </c>
      <c r="U32" s="75" t="s">
        <v>341</v>
      </c>
      <c r="V32" s="31"/>
      <c r="W32" s="29"/>
      <c r="X32" s="29"/>
      <c r="Y32" s="29"/>
      <c r="Z32" s="29"/>
    </row>
    <row r="33" spans="2:26" ht="33" customHeight="1">
      <c r="B33" s="33"/>
      <c r="C33" s="1059"/>
      <c r="D33" s="1059"/>
      <c r="E33" s="1059"/>
      <c r="F33" s="1062"/>
      <c r="G33" s="1090"/>
      <c r="H33" s="1062"/>
      <c r="I33" s="656"/>
      <c r="J33" s="449" t="str">
        <f>IF(code0="","",code0)</f>
        <v/>
      </c>
      <c r="K33" s="449" t="str">
        <f>IF(code1="","",code1)</f>
        <v/>
      </c>
      <c r="L33" s="449" t="str">
        <f>IF(code2="","",code2)</f>
        <v/>
      </c>
      <c r="M33" s="449" t="str">
        <f>IF(code3="","",code3)</f>
        <v/>
      </c>
      <c r="N33" s="449" t="str">
        <f>IF(code4="","",code4)</f>
        <v/>
      </c>
      <c r="O33" s="449" t="str">
        <f>IF(code5="","",code5)</f>
        <v/>
      </c>
      <c r="P33" s="423"/>
      <c r="Q33" s="449" t="str">
        <f>IF(code1="","",code1)</f>
        <v/>
      </c>
      <c r="R33" s="449" t="str">
        <f>IF(code2="","",code2)</f>
        <v/>
      </c>
      <c r="S33" s="449" t="str">
        <f>IF(code3="","",code3)</f>
        <v/>
      </c>
      <c r="T33" s="449" t="str">
        <f>IF(code4="","",code4)</f>
        <v/>
      </c>
      <c r="U33" s="449" t="str">
        <f>IF(code5="","",code5)</f>
        <v/>
      </c>
      <c r="V33" s="31"/>
      <c r="W33" s="29"/>
      <c r="X33" s="29"/>
      <c r="Y33" s="29"/>
      <c r="Z33" s="29"/>
    </row>
    <row r="34" spans="2:26" ht="30" customHeight="1">
      <c r="B34" s="33"/>
      <c r="C34" s="1060"/>
      <c r="D34" s="1060"/>
      <c r="E34" s="1060"/>
      <c r="F34" s="1063"/>
      <c r="G34" s="1091"/>
      <c r="H34" s="1063"/>
      <c r="I34" s="656"/>
      <c r="J34" s="268" t="str">
        <f>IF(code0="","",IF(name0="","noname",name0))</f>
        <v/>
      </c>
      <c r="K34" s="268" t="str">
        <f>IF(code1="","",IF(name1="","noname",name1))</f>
        <v/>
      </c>
      <c r="L34" s="268" t="str">
        <f>IF(code2="","",IF(name2="","noname",name2))</f>
        <v/>
      </c>
      <c r="M34" s="268" t="str">
        <f>IF(code3="","",IF(name3="","noname",name3))</f>
        <v/>
      </c>
      <c r="N34" s="268" t="str">
        <f>IF(code4="","",IF(name4="","noname",name4))</f>
        <v/>
      </c>
      <c r="O34" s="171" t="str">
        <f>IF(code5="","",IF(name5="","noname",name5))</f>
        <v/>
      </c>
      <c r="P34" s="423"/>
      <c r="Q34" s="268" t="str">
        <f>IF(code1="","",IF(name1="","noname",name1))</f>
        <v/>
      </c>
      <c r="R34" s="268" t="str">
        <f>IF(code2="","",IF(name2="","noname",name2))</f>
        <v/>
      </c>
      <c r="S34" s="268" t="str">
        <f>IF(code3="","",IF(name3="","noname",name3))</f>
        <v/>
      </c>
      <c r="T34" s="268" t="str">
        <f>IF(code4="","",IF(name4="","noname",name4))</f>
        <v/>
      </c>
      <c r="U34" s="171" t="str">
        <f>IF(code5="","",IF(name5="","noname",name5))</f>
        <v/>
      </c>
      <c r="V34" s="31"/>
      <c r="W34" s="29"/>
      <c r="X34" s="29"/>
      <c r="Y34" s="29"/>
      <c r="Z34" s="29"/>
    </row>
    <row r="35" spans="2:26" ht="7.5" customHeight="1">
      <c r="B35" s="33"/>
      <c r="C35" s="168"/>
      <c r="D35" s="168"/>
      <c r="E35" s="168"/>
      <c r="F35" s="8"/>
      <c r="G35" s="656"/>
      <c r="H35" s="656"/>
      <c r="I35" s="656"/>
      <c r="J35" s="76"/>
      <c r="K35" s="76"/>
      <c r="L35" s="76"/>
      <c r="M35" s="76"/>
      <c r="N35" s="76"/>
      <c r="O35" s="200"/>
      <c r="P35" s="76"/>
      <c r="Q35" s="76"/>
      <c r="R35" s="76"/>
      <c r="S35" s="76"/>
      <c r="T35" s="76"/>
      <c r="U35" s="200"/>
      <c r="V35" s="31"/>
      <c r="W35" s="29"/>
      <c r="X35" s="29"/>
      <c r="Y35" s="29"/>
      <c r="Z35" s="29"/>
    </row>
    <row r="36" spans="2:26" ht="15" customHeight="1">
      <c r="B36" s="33"/>
      <c r="C36" s="40" t="str">
        <f>PTAout!C41</f>
        <v>Implementation cost</v>
      </c>
      <c r="D36" s="89"/>
      <c r="E36" s="89"/>
      <c r="F36" s="596" t="str">
        <f t="shared" ref="F36:H37" si="0">IF(currency="","",currency)</f>
        <v/>
      </c>
      <c r="G36" s="596" t="str">
        <f t="shared" si="0"/>
        <v/>
      </c>
      <c r="H36" s="596" t="str">
        <f t="shared" si="0"/>
        <v/>
      </c>
      <c r="I36" s="596"/>
      <c r="J36" s="677" t="str">
        <f>IF(code0="","",-1000*PTAout!H41)</f>
        <v/>
      </c>
      <c r="K36" s="677" t="str">
        <f>IF(code1="","",-1000*PTAout!L41)</f>
        <v/>
      </c>
      <c r="L36" s="677" t="str">
        <f>IF(code2="","",-1000*PTAout!Q41)</f>
        <v/>
      </c>
      <c r="M36" s="677" t="str">
        <f>IF(code3="","",-1000*PTAout!V41)</f>
        <v/>
      </c>
      <c r="N36" s="677" t="str">
        <f>IF(code4="","",-1000*PTAout!AA41)</f>
        <v/>
      </c>
      <c r="O36" s="677" t="str">
        <f>IF(code5="","",-1000*PTAout!AF41)</f>
        <v/>
      </c>
      <c r="P36" s="678"/>
      <c r="Q36" s="967" t="str">
        <f t="shared" ref="Q36:T37" si="1">K36</f>
        <v/>
      </c>
      <c r="R36" s="967" t="str">
        <f t="shared" si="1"/>
        <v/>
      </c>
      <c r="S36" s="967" t="str">
        <f t="shared" si="1"/>
        <v/>
      </c>
      <c r="T36" s="967" t="str">
        <f t="shared" si="1"/>
        <v/>
      </c>
      <c r="U36" s="967" t="str">
        <f>O36</f>
        <v/>
      </c>
      <c r="V36" s="31"/>
      <c r="W36" s="29"/>
      <c r="X36" s="29"/>
      <c r="Y36" s="29"/>
      <c r="Z36" s="29"/>
    </row>
    <row r="37" spans="2:26" ht="15" customHeight="1">
      <c r="B37" s="33"/>
      <c r="C37" s="40" t="str">
        <f>PTAout!C42</f>
        <v>Maintenance cost per year</v>
      </c>
      <c r="D37" s="89"/>
      <c r="E37" s="89"/>
      <c r="F37" s="596" t="str">
        <f t="shared" si="0"/>
        <v/>
      </c>
      <c r="G37" s="596" t="str">
        <f t="shared" si="0"/>
        <v/>
      </c>
      <c r="H37" s="596" t="str">
        <f t="shared" si="0"/>
        <v/>
      </c>
      <c r="I37" s="596"/>
      <c r="J37" s="677" t="str">
        <f>IF(OR(code0="",years=""),"",-years*1000*'I1'!F39)</f>
        <v/>
      </c>
      <c r="K37" s="677" t="str">
        <f>IF(OR(code1="",years=""),"",-years*1000*'I1'!H39)</f>
        <v/>
      </c>
      <c r="L37" s="677" t="str">
        <f>IF(OR(code2="",years=""),"",-years*1000*'I1'!J39)</f>
        <v/>
      </c>
      <c r="M37" s="677" t="str">
        <f>IF(OR(code3="",years=""),"",-years*1000*'I1'!L39)</f>
        <v/>
      </c>
      <c r="N37" s="677" t="str">
        <f>IF(OR(code4="",years=""),"",-years*1000*'I1'!N39)</f>
        <v/>
      </c>
      <c r="O37" s="677" t="str">
        <f>IF(OR(code5="",years=""),"",-years*1000*'I1'!P39)</f>
        <v/>
      </c>
      <c r="P37" s="678"/>
      <c r="Q37" s="967" t="str">
        <f t="shared" si="1"/>
        <v/>
      </c>
      <c r="R37" s="967" t="str">
        <f t="shared" si="1"/>
        <v/>
      </c>
      <c r="S37" s="967" t="str">
        <f t="shared" si="1"/>
        <v/>
      </c>
      <c r="T37" s="967" t="str">
        <f t="shared" si="1"/>
        <v/>
      </c>
      <c r="U37" s="967" t="str">
        <f>O37</f>
        <v/>
      </c>
      <c r="V37" s="31"/>
      <c r="W37" s="29"/>
      <c r="X37" s="29"/>
      <c r="Y37" s="29"/>
      <c r="Z37" s="29"/>
    </row>
    <row r="38" spans="2:26" ht="7.5" customHeight="1">
      <c r="B38" s="33"/>
      <c r="C38" s="49"/>
      <c r="D38" s="47"/>
      <c r="E38" s="47"/>
      <c r="F38" s="195"/>
      <c r="G38" s="652"/>
      <c r="H38" s="652"/>
      <c r="I38" s="652"/>
      <c r="J38" s="195"/>
      <c r="K38" s="195"/>
      <c r="L38" s="195"/>
      <c r="M38" s="195"/>
      <c r="N38" s="195"/>
      <c r="O38" s="195"/>
      <c r="P38" s="223"/>
      <c r="Q38" s="632"/>
      <c r="R38" s="632"/>
      <c r="S38" s="632"/>
      <c r="T38" s="632"/>
      <c r="U38" s="632"/>
      <c r="V38" s="31"/>
      <c r="W38" s="29"/>
      <c r="X38" s="29"/>
      <c r="Y38" s="29"/>
      <c r="Z38" s="29"/>
    </row>
    <row r="39" spans="2:26" ht="15" customHeight="1">
      <c r="B39" s="33"/>
      <c r="C39" s="201" t="str">
        <f>PTAout!C44</f>
        <v>Link function</v>
      </c>
      <c r="D39" s="87"/>
      <c r="E39" s="87"/>
      <c r="F39" s="196"/>
      <c r="G39" s="653"/>
      <c r="H39" s="653"/>
      <c r="I39" s="652"/>
      <c r="J39" s="196"/>
      <c r="K39" s="196"/>
      <c r="L39" s="196"/>
      <c r="M39" s="196"/>
      <c r="N39" s="196"/>
      <c r="O39" s="196"/>
      <c r="P39" s="223"/>
      <c r="Q39" s="633"/>
      <c r="R39" s="633"/>
      <c r="S39" s="633"/>
      <c r="T39" s="633"/>
      <c r="U39" s="633"/>
      <c r="V39" s="31"/>
      <c r="W39" s="29"/>
      <c r="X39" s="29"/>
      <c r="Y39" s="29"/>
      <c r="Z39" s="29"/>
    </row>
    <row r="40" spans="2:26" ht="15" customHeight="1">
      <c r="B40" s="33"/>
      <c r="C40" s="202" t="str">
        <f>PTAout!C45</f>
        <v>Pedestrians</v>
      </c>
      <c r="D40" s="47"/>
      <c r="E40" s="47"/>
      <c r="F40" s="223"/>
      <c r="G40" s="652"/>
      <c r="H40" s="652"/>
      <c r="I40" s="652"/>
      <c r="J40" s="223"/>
      <c r="K40" s="223"/>
      <c r="L40" s="223"/>
      <c r="M40" s="223"/>
      <c r="N40" s="223"/>
      <c r="O40" s="223"/>
      <c r="P40" s="223"/>
      <c r="Q40" s="632"/>
      <c r="R40" s="632"/>
      <c r="S40" s="632"/>
      <c r="T40" s="632"/>
      <c r="U40" s="632"/>
      <c r="V40" s="31"/>
      <c r="W40" s="29"/>
      <c r="X40" s="29"/>
      <c r="Y40" s="29"/>
      <c r="Z40" s="29"/>
    </row>
    <row r="41" spans="2:26" ht="15" customHeight="1">
      <c r="B41" s="33"/>
      <c r="C41" s="29"/>
      <c r="D41" s="40" t="str">
        <f>PTAout!D46</f>
        <v>Space</v>
      </c>
      <c r="E41" s="47"/>
      <c r="F41" s="190" t="str">
        <f>PTAout!F46</f>
        <v>Width available</v>
      </c>
      <c r="G41" s="190"/>
      <c r="H41" s="190"/>
      <c r="I41" s="190"/>
      <c r="J41" s="405" t="str">
        <f>PTAout!H46</f>
        <v/>
      </c>
      <c r="K41" s="405" t="str">
        <f>PTAout!L46</f>
        <v/>
      </c>
      <c r="L41" s="405" t="str">
        <f>PTAout!Q46</f>
        <v/>
      </c>
      <c r="M41" s="405" t="str">
        <f>PTAout!V46</f>
        <v/>
      </c>
      <c r="N41" s="405" t="str">
        <f>PTAout!AA46</f>
        <v/>
      </c>
      <c r="O41" s="404" t="str">
        <f>PTAout!AF46</f>
        <v/>
      </c>
      <c r="P41" s="191"/>
      <c r="Q41" s="193"/>
      <c r="R41" s="193"/>
      <c r="S41" s="193"/>
      <c r="T41" s="193"/>
      <c r="U41" s="634"/>
      <c r="V41" s="31"/>
      <c r="W41" s="29"/>
      <c r="X41" s="29"/>
      <c r="Y41" s="29"/>
      <c r="Z41" s="29"/>
    </row>
    <row r="42" spans="2:26" ht="15" customHeight="1">
      <c r="B42" s="33"/>
      <c r="C42" s="29"/>
      <c r="D42" s="40" t="str">
        <f>PTAout!D47</f>
        <v>Volume</v>
      </c>
      <c r="E42" s="47"/>
      <c r="F42" s="190" t="str">
        <f>PTAout!F47</f>
        <v/>
      </c>
      <c r="G42" s="190"/>
      <c r="H42" s="190"/>
      <c r="I42" s="190"/>
      <c r="J42" s="405" t="str">
        <f>PTAout!H47</f>
        <v/>
      </c>
      <c r="K42" s="405" t="str">
        <f>PTAout!L47</f>
        <v/>
      </c>
      <c r="L42" s="405" t="str">
        <f>PTAout!Q47</f>
        <v/>
      </c>
      <c r="M42" s="405" t="str">
        <f>PTAout!V47</f>
        <v/>
      </c>
      <c r="N42" s="405" t="str">
        <f>PTAout!AA47</f>
        <v/>
      </c>
      <c r="O42" s="404" t="str">
        <f>PTAout!AF47</f>
        <v/>
      </c>
      <c r="P42" s="191"/>
      <c r="Q42" s="193"/>
      <c r="R42" s="193"/>
      <c r="S42" s="193"/>
      <c r="T42" s="193"/>
      <c r="U42" s="634"/>
      <c r="V42" s="31"/>
      <c r="W42" s="29"/>
      <c r="X42" s="29"/>
      <c r="Y42" s="29"/>
      <c r="Z42" s="29"/>
    </row>
    <row r="43" spans="2:26" ht="15" customHeight="1">
      <c r="B43" s="33"/>
      <c r="C43" s="29"/>
      <c r="D43" s="40" t="str">
        <f>PTAout!D48</f>
        <v>Speed</v>
      </c>
      <c r="E43" s="47"/>
      <c r="F43" s="190" t="str">
        <f>PTAout!F48</f>
        <v/>
      </c>
      <c r="G43" s="190"/>
      <c r="H43" s="190"/>
      <c r="I43" s="190"/>
      <c r="J43" s="405" t="str">
        <f>PTAout!H48</f>
        <v/>
      </c>
      <c r="K43" s="405" t="str">
        <f>PTAout!L48</f>
        <v/>
      </c>
      <c r="L43" s="405" t="str">
        <f>PTAout!Q48</f>
        <v/>
      </c>
      <c r="M43" s="405" t="str">
        <f>PTAout!V48</f>
        <v/>
      </c>
      <c r="N43" s="405" t="str">
        <f>PTAout!AA48</f>
        <v/>
      </c>
      <c r="O43" s="404" t="str">
        <f>PTAout!AF48</f>
        <v/>
      </c>
      <c r="P43" s="189"/>
      <c r="Q43" s="193"/>
      <c r="R43" s="193"/>
      <c r="S43" s="193"/>
      <c r="T43" s="193"/>
      <c r="U43" s="634"/>
      <c r="V43" s="31"/>
      <c r="W43" s="29"/>
      <c r="X43" s="29"/>
      <c r="Y43" s="29"/>
      <c r="Z43" s="29"/>
    </row>
    <row r="44" spans="2:26" ht="15" customHeight="1">
      <c r="B44" s="33"/>
      <c r="C44" s="29"/>
      <c r="D44" s="40" t="str">
        <f>PTAout!D49</f>
        <v>Travel time</v>
      </c>
      <c r="E44" s="47"/>
      <c r="F44" s="190" t="str">
        <f>PTAout!F49</f>
        <v/>
      </c>
      <c r="G44" s="676" t="str">
        <f>IF(CBAin!P21&lt;&gt;"",CBAin!P21,IF(CBAin!M21&lt;&gt;"",CBAin!M21,""))</f>
        <v/>
      </c>
      <c r="H44" s="190" t="str">
        <f>IF(CBAin!O21&lt;&gt;"",CBAin!O21,IF(CBAin!L21&lt;&gt;"",CBAin!L21,""))</f>
        <v/>
      </c>
      <c r="I44" s="190"/>
      <c r="J44" s="405" t="str">
        <f>PTAout!H49</f>
        <v/>
      </c>
      <c r="K44" s="405" t="str">
        <f>PTAout!L49</f>
        <v/>
      </c>
      <c r="L44" s="405" t="str">
        <f>PTAout!Q49</f>
        <v/>
      </c>
      <c r="M44" s="405" t="str">
        <f>PTAout!V49</f>
        <v/>
      </c>
      <c r="N44" s="405" t="str">
        <f>PTAout!AA49</f>
        <v/>
      </c>
      <c r="O44" s="404" t="str">
        <f>PTAout!AF49</f>
        <v/>
      </c>
      <c r="P44" s="189"/>
      <c r="Q44" s="679" t="str">
        <f>IF(OR(code0="",code1="",years="",$G44="",$J42="",$J44="",K42="",K44=""),"",years*365*16*IF(OR($G44="",K44="",K42="",$J44="",$J42=""),"",$G44*(K44*K42-$J44*$J42)))</f>
        <v/>
      </c>
      <c r="R44" s="679" t="str">
        <f>IF(OR(code0="",code2="",years="",$G44="",$J42="",$J44="",L42="",L44=""),"",years*365*16*IF(OR($G44="",L44="",L42="",$J44="",$J42=""),"",$G44*(L44*L42-$J44*$J42)))</f>
        <v/>
      </c>
      <c r="S44" s="679" t="str">
        <f>IF(OR(code0="",code3="",years="",$G44="",$J42="",$J44="",M42="",M44=""),"",years*365*16*IF(OR($G44="",M44="",M42="",$J44="",$J42=""),"",$G44*(M44*M42-$J44*$J42)))</f>
        <v/>
      </c>
      <c r="T44" s="679" t="str">
        <f>IF(OR(code0="",code4="",years="",$G44="",$J42="",$J44="",N42="",N44=""),"",years*365*16*IF(OR($G44="",N44="",N42="",$J44="",$J42=""),"",$G44*(N44*N42-$J44*$J42)))</f>
        <v/>
      </c>
      <c r="U44" s="679" t="str">
        <f>IF(OR(code0="",code5="",years="",$G44="",$J42="",$J44="",O42="",O44=""),"",years*365*16*IF(OR($G44="",O44="",O42="",$J44="",$J42=""),"",$G44*(O44*O42-$J44*$J42)))</f>
        <v/>
      </c>
      <c r="V44" s="31"/>
      <c r="W44" s="29"/>
      <c r="X44" s="29"/>
      <c r="Y44" s="29"/>
      <c r="Z44" s="29"/>
    </row>
    <row r="45" spans="2:26" ht="15" customHeight="1">
      <c r="B45" s="33"/>
      <c r="C45" s="29"/>
      <c r="D45" s="40" t="str">
        <f>PTAout!D50</f>
        <v>Delays</v>
      </c>
      <c r="E45" s="47"/>
      <c r="F45" s="190" t="str">
        <f>PTAout!F50</f>
        <v/>
      </c>
      <c r="G45" s="676" t="str">
        <f>IF(CBAin!P37&lt;&gt;"",CBAin!P37,IF(AND(LEFT($F45,13)="Average delay",CBAin!M37&lt;&gt;""),CBAin!M37,""))</f>
        <v/>
      </c>
      <c r="H45" s="190" t="str">
        <f>IF(CBAin!O37&lt;&gt;"",CBAin!O37,IF(AND(LEFT($F45,13)="Average delay",CBAin!L37&lt;&gt;""),CBAin!L37,""))</f>
        <v/>
      </c>
      <c r="I45" s="190"/>
      <c r="J45" s="405" t="str">
        <f>PTAout!H50</f>
        <v/>
      </c>
      <c r="K45" s="405" t="str">
        <f>PTAout!L50</f>
        <v/>
      </c>
      <c r="L45" s="405" t="str">
        <f>PTAout!Q50</f>
        <v/>
      </c>
      <c r="M45" s="405" t="str">
        <f>PTAout!V50</f>
        <v/>
      </c>
      <c r="N45" s="405" t="str">
        <f>PTAout!AA50</f>
        <v/>
      </c>
      <c r="O45" s="405" t="str">
        <f>PTAout!AF50</f>
        <v/>
      </c>
      <c r="P45" s="189"/>
      <c r="Q45" s="679" t="str">
        <f>IF(OR(code0="",code1="",years="",$G45="",$J42="",$J45="",K42="",K45=""),"",years*365*16*IF(OR($G44="",$G45="",K45="",K42="",$J45="",$J42=""),"",$G45*$G44*(K45*K42-$J45*$J42)))</f>
        <v/>
      </c>
      <c r="R45" s="679" t="str">
        <f>IF(OR(code0="",code2="",years="",$G45="",$J42="",$J45="",L42="",L45=""),"",years*365*16*IF(OR($G44="",$G45="",L45="",L42="",$J45="",$J42=""),"",$G45*$G44*(L45*L42-$J45*$J42)))</f>
        <v/>
      </c>
      <c r="S45" s="679" t="str">
        <f>IF(OR(code0="",code3="",years="",$G45="",$J42="",$J45="",M42="",M45=""),"",years*365*16*IF(OR($G44="",$G45="",M45="",M42="",$J45="",$J42=""),"",$G45*$G44*(M45*M42-$J45*$J42)))</f>
        <v/>
      </c>
      <c r="T45" s="679" t="str">
        <f>IF(OR(code0="",code4="",years="",$G45="",$J42="",$J45="",N42="",N45=""),"",years*365*16*IF(OR($G44="",$G45="",N45="",N42="",$J45="",$J42=""),"",$G45*$G44*(N45*N42-$J45*$J42)))</f>
        <v/>
      </c>
      <c r="U45" s="679" t="str">
        <f>IF(OR(code0="",code5="",years="",$G45="",$J42="",$J45="",O42="",O45=""),"",years*365*16*IF(OR($G44="",$G45="",O45="",O42="",$J45="",$J42=""),"",$G45*$G44*(O45*O42-$J45*$J42)))</f>
        <v/>
      </c>
      <c r="V45" s="31"/>
      <c r="W45" s="29"/>
      <c r="X45" s="29"/>
      <c r="Y45" s="29"/>
      <c r="Z45" s="29"/>
    </row>
    <row r="46" spans="2:26" ht="15" customHeight="1">
      <c r="B46" s="33"/>
      <c r="C46" s="29"/>
      <c r="D46" s="40" t="str">
        <f>PTAout!D51</f>
        <v>Reliability</v>
      </c>
      <c r="E46" s="47"/>
      <c r="F46" s="190" t="str">
        <f>PTAout!F51</f>
        <v/>
      </c>
      <c r="G46" s="676" t="str">
        <f>IF(CBAin!P45&lt;&gt;"",CBAin!P45,IF(AND($F46="Standard deviation of travel time",CBAin!M45&lt;&gt;""),CBAin!M45,""))</f>
        <v/>
      </c>
      <c r="H46" s="190" t="str">
        <f>IF(CBAin!O45&lt;&gt;"",CBAin!O45,IF(AND($F46="Standard deviation of travel time",CBAin!L45&lt;&gt;""),CBAin!L45,""))</f>
        <v/>
      </c>
      <c r="I46" s="190"/>
      <c r="J46" s="399" t="str">
        <f>PTAout!H51</f>
        <v/>
      </c>
      <c r="K46" s="399" t="str">
        <f>PTAout!L51</f>
        <v/>
      </c>
      <c r="L46" s="399" t="str">
        <f>PTAout!Q51</f>
        <v/>
      </c>
      <c r="M46" s="399" t="str">
        <f>PTAout!V51</f>
        <v/>
      </c>
      <c r="N46" s="399" t="str">
        <f>PTAout!AA51</f>
        <v/>
      </c>
      <c r="O46" s="399" t="str">
        <f>PTAout!AF51</f>
        <v/>
      </c>
      <c r="P46" s="189"/>
      <c r="Q46" s="193"/>
      <c r="R46" s="193"/>
      <c r="S46" s="193"/>
      <c r="T46" s="193"/>
      <c r="U46" s="634"/>
      <c r="V46" s="31"/>
      <c r="W46" s="29"/>
      <c r="X46" s="29"/>
      <c r="Y46" s="29"/>
      <c r="Z46" s="29"/>
    </row>
    <row r="47" spans="2:26" ht="15" customHeight="1">
      <c r="B47" s="33"/>
      <c r="C47" s="59"/>
      <c r="D47" s="402" t="str">
        <f>PTAout!D52</f>
        <v>Trip quality</v>
      </c>
      <c r="E47" s="85"/>
      <c r="F47" s="294" t="str">
        <f>PTAout!F52</f>
        <v/>
      </c>
      <c r="G47" s="681" t="str">
        <f>IF(CBAin!P29&lt;&gt;"",CBAin!P29,IF(AND($F47="time travelling in congested conditions (minutes)",CBAin!M29&lt;&gt;""),CBAin!M29,""))</f>
        <v/>
      </c>
      <c r="H47" s="294" t="str">
        <f>IF(CBAin!O29&lt;&gt;"",CBAin!O29,IF(AND($F47="time travelling in congested conditions (minutes)",CBAin!L29&lt;&gt;""),CBAin!L29,""))</f>
        <v/>
      </c>
      <c r="I47" s="190"/>
      <c r="J47" s="302" t="str">
        <f>PTAout!H52</f>
        <v/>
      </c>
      <c r="K47" s="302" t="str">
        <f>PTAout!L52</f>
        <v/>
      </c>
      <c r="L47" s="302" t="str">
        <f>PTAout!Q52</f>
        <v/>
      </c>
      <c r="M47" s="302" t="str">
        <f>PTAout!V52</f>
        <v/>
      </c>
      <c r="N47" s="302" t="str">
        <f>PTAout!AA52</f>
        <v/>
      </c>
      <c r="O47" s="302" t="str">
        <f>PTAout!AF52</f>
        <v/>
      </c>
      <c r="P47" s="189"/>
      <c r="Q47" s="682"/>
      <c r="R47" s="682"/>
      <c r="S47" s="682"/>
      <c r="T47" s="682"/>
      <c r="U47" s="683"/>
      <c r="V47" s="31"/>
      <c r="W47" s="29"/>
      <c r="X47" s="29"/>
      <c r="Y47" s="29"/>
      <c r="Z47" s="29"/>
    </row>
    <row r="48" spans="2:26" ht="15" customHeight="1">
      <c r="B48" s="33"/>
      <c r="C48" s="202" t="str">
        <f>PTAout!C53</f>
        <v>Cyclists</v>
      </c>
      <c r="D48" s="47"/>
      <c r="E48" s="289"/>
      <c r="F48" s="222"/>
      <c r="G48" s="651"/>
      <c r="H48" s="651"/>
      <c r="I48" s="652"/>
      <c r="J48" s="296"/>
      <c r="K48" s="296"/>
      <c r="L48" s="296"/>
      <c r="M48" s="296"/>
      <c r="N48" s="296"/>
      <c r="O48" s="296"/>
      <c r="P48" s="652"/>
      <c r="Q48" s="637"/>
      <c r="R48" s="637"/>
      <c r="S48" s="637"/>
      <c r="T48" s="637"/>
      <c r="U48" s="637"/>
      <c r="V48" s="31"/>
      <c r="W48" s="29"/>
      <c r="X48" s="29"/>
      <c r="Y48" s="29"/>
      <c r="Z48" s="29"/>
    </row>
    <row r="49" spans="2:26" ht="15" customHeight="1">
      <c r="B49" s="33"/>
      <c r="C49" s="29"/>
      <c r="D49" s="40" t="str">
        <f>PTAout!D54</f>
        <v>Space</v>
      </c>
      <c r="E49" s="47"/>
      <c r="F49" s="190" t="str">
        <f>PTAout!F54</f>
        <v>Width available (dedicated space)</v>
      </c>
      <c r="G49" s="676" t="str">
        <f>IF(CBAin!P54&lt;&gt;"",CBAin!P54,IF(CBAin!M54&lt;&gt;"","Depends on type of space",""))</f>
        <v/>
      </c>
      <c r="H49" s="190" t="str">
        <f>IF(CBAin!O54&lt;&gt;"",CBAin!O54,IF(CBAin!L54&lt;&gt;"",CBAin!L54,""))</f>
        <v/>
      </c>
      <c r="I49" s="190"/>
      <c r="J49" s="404" t="str">
        <f>IF(code0="","",cyclewidth0 &amp; "m (" &amp; cycle0 &amp; ")")</f>
        <v/>
      </c>
      <c r="K49" s="404" t="str">
        <f>IF(code1="","",PTAout!L54 &amp; "m (" &amp; cycle1 &amp; ")")</f>
        <v/>
      </c>
      <c r="L49" s="404" t="str">
        <f>IF(code2="","",PTAout!Q54 &amp; "m (" &amp; cycle2 &amp; ")")</f>
        <v/>
      </c>
      <c r="M49" s="404" t="str">
        <f>IF(code3="","",PTAout!V54 &amp; "m (" &amp; cycle3 &amp; ")")</f>
        <v/>
      </c>
      <c r="N49" s="404" t="str">
        <f>IF(code4="","",PTAout!AA54 &amp; "m (" &amp; cycle4 &amp; ")")</f>
        <v/>
      </c>
      <c r="O49" s="404" t="str">
        <f>IF(code5="","",PTAout!AF54 &amp; "m (" &amp; cycle5 &amp; ")")</f>
        <v/>
      </c>
      <c r="P49" s="192"/>
      <c r="Q49" s="679" t="str">
        <f>IFERROR(years*365*16*K50*K52*IF(cycle1="Segregated track",IF(CBAin!O54&lt;&gt;"",CBAin!O54,CBAin!$M$54),IF(cycle1="Unsegregated lane",IF(CBAin!O55&lt;&gt;"",CBAin!O55,CBAin!$M$55),0))-$J50*$J52*IF(cycle0="Segregated track",IF(CBAin!O54&lt;&gt;"",CBAin!O54,CBAin!$M$54),IF(cycle0="Unsegregated lane",IF(CBAin!O55&lt;&gt;"",CBAin!O55,CBAin!$M$55),0)),"")</f>
        <v/>
      </c>
      <c r="R49" s="679" t="str">
        <f>IFERROR(years*365*16*L50*L52*IF(cycle2="Segregated track",IF(CBAin!P54&lt;&gt;"",CBAin!P54,CBAin!$M$54),IF(cycle2="Unsegregated lane",IF(CBAin!P55&lt;&gt;"",CBAin!P55,CBAin!$M$55),0))-$J50*$J52*IF(cycle0="Segregated track",IF(CBAin!P54&lt;&gt;"",CBAin!P54,CBAin!$M$54),IF(cycle0="Unsegregated lane",IF(CBAin!P55&lt;&gt;"",CBAin!P55,CBAin!$M$55),0)),"")</f>
        <v/>
      </c>
      <c r="S49" s="679" t="str">
        <f>IFERROR(years*365*16*M50*M52*IF(cycle3="Segregated track",IF(CBAin!Q54&lt;&gt;"",CBAin!Q54,CBAin!$M$54),IF(cycle3="Unsegregated lane",IF(CBAin!Q55&lt;&gt;"",CBAin!Q55,CBAin!$M$55),0))-$J50*$J52*IF(cycle0="Segregated track",IF(CBAin!Q54&lt;&gt;"",CBAin!Q54,CBAin!$M$54),IF(cycle0="Unsegregated lane",IF(CBAin!Q55&lt;&gt;"",CBAin!Q55,CBAin!$M$55),0)),"")</f>
        <v/>
      </c>
      <c r="T49" s="679" t="str">
        <f>IFERROR(years*365*16*N50*N52*IF(cycle4="Segregated track",IF(CBAin!R54&lt;&gt;"",CBAin!R54,CBAin!$M$54),IF(cycle4="Unsegregated lane",IF(CBAin!R55&lt;&gt;"",CBAin!R55,CBAin!$M$55),0))-$J50*$J52*IF(cycle0="Segregated track",IF(CBAin!R54&lt;&gt;"",CBAin!R54,CBAin!$M$54),IF(cycle0="Unsegregated lane",IF(CBAin!R55&lt;&gt;"",CBAin!R55,CBAin!$M$55),0)),"")</f>
        <v/>
      </c>
      <c r="U49" s="679" t="str">
        <f>IFERROR(years*365*16*O50*O52*IF(cycle5="Segregated track",IF(CBAin!S54&lt;&gt;"",CBAin!S54,CBAin!$M$54),IF(cycle5="Unsegregated lane",IF(CBAin!S55&lt;&gt;"",CBAin!S55,CBAin!$M$55),0))-$J50*$J52*IF(cycle0="Segregated track",IF(CBAin!S54&lt;&gt;"",CBAin!S54,CBAin!$M$54),IF(cycle0="Unsegregated lane",IF(CBAin!S55&lt;&gt;"",CBAin!S55,CBAin!$M$55),0)),"")</f>
        <v/>
      </c>
      <c r="V49" s="31"/>
      <c r="W49" s="29"/>
      <c r="X49" s="29"/>
      <c r="Y49" s="29"/>
      <c r="Z49" s="29"/>
    </row>
    <row r="50" spans="2:26" ht="15" customHeight="1">
      <c r="B50" s="33"/>
      <c r="C50" s="29"/>
      <c r="D50" s="40" t="str">
        <f>PTAout!D55</f>
        <v>Volume</v>
      </c>
      <c r="E50" s="47"/>
      <c r="F50" s="190" t="str">
        <f>PTAout!F55</f>
        <v/>
      </c>
      <c r="G50" s="190"/>
      <c r="H50" s="190"/>
      <c r="I50" s="190"/>
      <c r="J50" s="404" t="str">
        <f>PTAout!H55</f>
        <v/>
      </c>
      <c r="K50" s="404" t="str">
        <f>PTAout!L55</f>
        <v/>
      </c>
      <c r="L50" s="404" t="str">
        <f>PTAout!Q55</f>
        <v/>
      </c>
      <c r="M50" s="404" t="str">
        <f>PTAout!V55</f>
        <v/>
      </c>
      <c r="N50" s="404" t="str">
        <f>PTAout!AA55</f>
        <v/>
      </c>
      <c r="O50" s="404" t="str">
        <f>PTAout!AF55</f>
        <v/>
      </c>
      <c r="P50" s="192"/>
      <c r="Q50" s="193"/>
      <c r="R50" s="193"/>
      <c r="S50" s="193"/>
      <c r="T50" s="193"/>
      <c r="U50" s="634"/>
      <c r="V50" s="31"/>
      <c r="W50" s="29"/>
      <c r="X50" s="29"/>
      <c r="Y50" s="29"/>
      <c r="Z50" s="29"/>
    </row>
    <row r="51" spans="2:26" ht="15" customHeight="1">
      <c r="B51" s="33"/>
      <c r="C51" s="29"/>
      <c r="D51" s="40" t="str">
        <f>PTAout!D56</f>
        <v>Speed</v>
      </c>
      <c r="E51" s="47"/>
      <c r="F51" s="190" t="str">
        <f>PTAout!F56</f>
        <v/>
      </c>
      <c r="G51" s="190"/>
      <c r="H51" s="190"/>
      <c r="I51" s="190"/>
      <c r="J51" s="404" t="str">
        <f>PTAout!H56</f>
        <v/>
      </c>
      <c r="K51" s="404" t="str">
        <f>PTAout!L56</f>
        <v/>
      </c>
      <c r="L51" s="404" t="str">
        <f>PTAout!Q56</f>
        <v/>
      </c>
      <c r="M51" s="404" t="str">
        <f>PTAout!V56</f>
        <v/>
      </c>
      <c r="N51" s="404" t="str">
        <f>PTAout!AA56</f>
        <v/>
      </c>
      <c r="O51" s="404" t="str">
        <f>PTAout!AF56</f>
        <v/>
      </c>
      <c r="P51" s="190"/>
      <c r="Q51" s="193"/>
      <c r="R51" s="193"/>
      <c r="S51" s="193"/>
      <c r="T51" s="193"/>
      <c r="U51" s="634"/>
      <c r="V51" s="31"/>
      <c r="W51" s="29"/>
      <c r="X51" s="29"/>
      <c r="Y51" s="29"/>
      <c r="Z51" s="29"/>
    </row>
    <row r="52" spans="2:26" ht="15" customHeight="1">
      <c r="B52" s="33"/>
      <c r="C52" s="29"/>
      <c r="D52" s="40" t="str">
        <f>PTAout!D57</f>
        <v>Travel time</v>
      </c>
      <c r="E52" s="47"/>
      <c r="F52" s="190" t="str">
        <f>PTAout!F57</f>
        <v/>
      </c>
      <c r="G52" s="676" t="str">
        <f>IF(CBAin!P22&lt;&gt;"",CBAin!P22,IF(CBAin!M22&lt;&gt;"",CBAin!M22,""))</f>
        <v/>
      </c>
      <c r="H52" s="190" t="str">
        <f>IF(CBAin!O22&lt;&gt;"",CBAin!O22,IF(CBAin!L22&lt;&gt;"",CBAin!L22,""))</f>
        <v/>
      </c>
      <c r="I52" s="190"/>
      <c r="J52" s="404" t="str">
        <f>PTAout!H57</f>
        <v/>
      </c>
      <c r="K52" s="404" t="str">
        <f>PTAout!L57</f>
        <v/>
      </c>
      <c r="L52" s="404" t="str">
        <f>PTAout!Q57</f>
        <v/>
      </c>
      <c r="M52" s="404" t="str">
        <f>PTAout!V57</f>
        <v/>
      </c>
      <c r="N52" s="404" t="str">
        <f>PTAout!AA57</f>
        <v/>
      </c>
      <c r="O52" s="404" t="str">
        <f>PTAout!AF57</f>
        <v/>
      </c>
      <c r="P52" s="190"/>
      <c r="Q52" s="679" t="str">
        <f>IF(OR(code0="",code1="",years="",$G52="",$J50="",$J52="",K50="",K52=""),"",years*365*16*IF(OR($G52="",K52="",K50="",$J52="",$J50=""),"",$G52*(K52*K50-$J52*$J50)))</f>
        <v/>
      </c>
      <c r="R52" s="679" t="str">
        <f>IF(OR(code0="",code2="",years="",$G52="",$J50="",$J52="",L50="",L52=""),"",years*365*16*IF(OR($G52="",L52="",L50="",$J52="",$J50=""),"",$G52*(L52*L50-$J52*$J50)))</f>
        <v/>
      </c>
      <c r="S52" s="679" t="str">
        <f>IF(OR(code0="",code3="",years="",$G52="",$J50="",$J52="",M50="",M52=""),"",years*365*16*IF(OR($G52="",M52="",M50="",$J52="",$J50=""),"",$G52*(M52*M50-$J52*$J50)))</f>
        <v/>
      </c>
      <c r="T52" s="679" t="str">
        <f>IF(OR(code0="",code4="",years="",$G52="",$J50="",$J52="",N50="",N52=""),"",years*365*16*IF(OR($G52="",N52="",N50="",$J52="",$J50=""),"",$G52*(N52*N50-$J52*$J50)))</f>
        <v/>
      </c>
      <c r="U52" s="679" t="str">
        <f>IF(OR(code0="",code5="",years="",$G52="",$J50="",$J52="",O50="",O52=""),"",years*365*16*IF(OR($G52="",O52="",O50="",$J52="",$J50=""),"",$G52*(O52*O50-$J52*$J50)))</f>
        <v/>
      </c>
      <c r="V52" s="31"/>
      <c r="W52" s="29"/>
      <c r="X52" s="29"/>
      <c r="Y52" s="29"/>
      <c r="Z52" s="29"/>
    </row>
    <row r="53" spans="2:26" ht="15" customHeight="1">
      <c r="B53" s="33"/>
      <c r="C53" s="29"/>
      <c r="D53" s="40" t="str">
        <f>PTAout!D58</f>
        <v>Delays</v>
      </c>
      <c r="E53" s="47"/>
      <c r="F53" s="190" t="str">
        <f>PTAout!F58</f>
        <v/>
      </c>
      <c r="G53" s="676" t="str">
        <f>IF(CBAin!P38&lt;&gt;"",CBAin!P38,IF(AND(LEFT($F53,13)="Average delay",CBAin!M38&lt;&gt;""),CBAin!M38,""))</f>
        <v/>
      </c>
      <c r="H53" s="190" t="str">
        <f>IF(CBAin!O38&lt;&gt;"",CBAin!O38,IF(AND(LEFT($F53,13)="Average delay",CBAin!L38&lt;&gt;""),CBAin!L38,""))</f>
        <v/>
      </c>
      <c r="I53" s="190"/>
      <c r="J53" s="405" t="str">
        <f>PTAout!H58</f>
        <v/>
      </c>
      <c r="K53" s="405" t="str">
        <f>PTAout!L58</f>
        <v/>
      </c>
      <c r="L53" s="405" t="str">
        <f>PTAout!Q58</f>
        <v/>
      </c>
      <c r="M53" s="405" t="str">
        <f>PTAout!V58</f>
        <v/>
      </c>
      <c r="N53" s="405" t="str">
        <f>PTAout!AA58</f>
        <v/>
      </c>
      <c r="O53" s="405" t="str">
        <f>PTAout!AF58</f>
        <v/>
      </c>
      <c r="P53" s="190"/>
      <c r="Q53" s="679" t="str">
        <f>IF(OR(code0="",code1="",years="",$G53="",$J50="",$J53="",K50="",K53=""),"",years*365*16*IF(OR($G52="",$G53="",K53="",K50="",$J53="",$J50=""),"",$G53*$G52*(K53*K50-$J53*$J50)))</f>
        <v/>
      </c>
      <c r="R53" s="679" t="str">
        <f>IF(OR(code0="",code2="",years="",$G53="",$J50="",$J53="",L50="",L53=""),"",years*365*16*IF(OR($G52="",$G53="",L53="",L50="",$J53="",$J50=""),"",$G53*$G52*(L53*L50-$J53*$J50)))</f>
        <v/>
      </c>
      <c r="S53" s="679" t="str">
        <f>IF(OR(code0="",code3="",years="",$G53="",$J50="",$J53="",M50="",M53=""),"",years*365*16*IF(OR($G52="",$G53="",M53="",M50="",$J53="",$J50=""),"",$G53*$G52*(M53*M50-$J53*$J50)))</f>
        <v/>
      </c>
      <c r="T53" s="679" t="str">
        <f>IF(OR(code0="",code4="",years="",$G53="",$J50="",$J53="",N50="",N53=""),"",years*365*16*IF(OR($G52="",$G53="",N53="",N50="",$J53="",$J50=""),"",$G53*$G52*(N53*N50-$J53*$J50)))</f>
        <v/>
      </c>
      <c r="U53" s="679" t="str">
        <f>IF(OR(code0="",code5="",years="",$G53="",$J50="",$J53="",O50="",O53=""),"",years*365*16*IF(OR($G52="",$G53="",O53="",O50="",$J53="",$J50=""),"",$G53*$G52*(O53*O50-$J53*$J50)))</f>
        <v/>
      </c>
      <c r="V53" s="31"/>
      <c r="W53" s="29"/>
      <c r="X53" s="29"/>
      <c r="Y53" s="29"/>
      <c r="Z53" s="29"/>
    </row>
    <row r="54" spans="2:26" ht="15" customHeight="1">
      <c r="B54" s="33"/>
      <c r="C54" s="29"/>
      <c r="D54" s="40" t="str">
        <f>PTAout!D59</f>
        <v>Reliability</v>
      </c>
      <c r="E54" s="47"/>
      <c r="F54" s="190" t="str">
        <f>PTAout!F59</f>
        <v/>
      </c>
      <c r="G54" s="676" t="str">
        <f>IF(CBAin!P46&lt;&gt;"",CBAin!P46,IF(AND($F54="Standard deviation of travel time",CBAin!M46&lt;&gt;""),CBAin!M46,""))</f>
        <v/>
      </c>
      <c r="H54" s="190" t="str">
        <f>IF(CBAin!O46&lt;&gt;"",CBAin!O46,IF(AND($F54="Standard deviation of travel time",CBAin!L46&lt;&gt;""),CBAin!L46,""))</f>
        <v/>
      </c>
      <c r="I54" s="190"/>
      <c r="J54" s="399" t="str">
        <f>PTAout!H59</f>
        <v/>
      </c>
      <c r="K54" s="399" t="str">
        <f>PTAout!L59</f>
        <v/>
      </c>
      <c r="L54" s="399" t="str">
        <f>PTAout!Q59</f>
        <v/>
      </c>
      <c r="M54" s="399" t="str">
        <f>PTAout!V59</f>
        <v/>
      </c>
      <c r="N54" s="399" t="str">
        <f>PTAout!AA59</f>
        <v/>
      </c>
      <c r="O54" s="399" t="str">
        <f>PTAout!AF59</f>
        <v/>
      </c>
      <c r="P54" s="190"/>
      <c r="Q54" s="193"/>
      <c r="R54" s="193"/>
      <c r="S54" s="193"/>
      <c r="T54" s="193"/>
      <c r="U54" s="634"/>
      <c r="V54" s="31"/>
      <c r="W54" s="29"/>
      <c r="X54" s="29"/>
      <c r="Y54" s="29"/>
      <c r="Z54" s="29"/>
    </row>
    <row r="55" spans="2:26" ht="15" customHeight="1">
      <c r="B55" s="33"/>
      <c r="C55" s="59"/>
      <c r="D55" s="402" t="str">
        <f>PTAout!D60</f>
        <v>Trip quality</v>
      </c>
      <c r="E55" s="85"/>
      <c r="F55" s="294" t="str">
        <f>PTAout!F60</f>
        <v/>
      </c>
      <c r="G55" s="681" t="str">
        <f>IF(CBAin!P30&lt;&gt;"",CBAin!P30,IF(AND($F55="time travelling in congested conditions (minutes)",CBAin!M30&lt;&gt;""),CBAin!M30,""))</f>
        <v/>
      </c>
      <c r="H55" s="294" t="str">
        <f>IF(CBAin!O30&lt;&gt;"",CBAin!O30,IF(AND($F55="time travelling in congested conditions (minutes)",CBAin!L30&lt;&gt;""),CBAin!L30,""))</f>
        <v/>
      </c>
      <c r="I55" s="190"/>
      <c r="J55" s="302" t="str">
        <f>PTAout!H60</f>
        <v/>
      </c>
      <c r="K55" s="302" t="str">
        <f>PTAout!L60</f>
        <v/>
      </c>
      <c r="L55" s="302" t="str">
        <f>PTAout!Q60</f>
        <v/>
      </c>
      <c r="M55" s="302" t="str">
        <f>PTAout!V60</f>
        <v/>
      </c>
      <c r="N55" s="302" t="str">
        <f>PTAout!AA60</f>
        <v/>
      </c>
      <c r="O55" s="302" t="str">
        <f>PTAout!AF60</f>
        <v/>
      </c>
      <c r="P55" s="190"/>
      <c r="Q55" s="682"/>
      <c r="R55" s="682"/>
      <c r="S55" s="682"/>
      <c r="T55" s="682"/>
      <c r="U55" s="683"/>
      <c r="V55" s="31"/>
      <c r="W55" s="29"/>
      <c r="X55" s="29"/>
      <c r="Y55" s="29"/>
      <c r="Z55" s="29"/>
    </row>
    <row r="56" spans="2:26" ht="15" customHeight="1">
      <c r="B56" s="33"/>
      <c r="C56" s="202" t="str">
        <f>PTAout!C61</f>
        <v>Micromobility</v>
      </c>
      <c r="D56" s="47"/>
      <c r="E56" s="47"/>
      <c r="F56" s="223"/>
      <c r="G56" s="652"/>
      <c r="H56" s="652"/>
      <c r="I56" s="652"/>
      <c r="J56" s="421"/>
      <c r="K56" s="421"/>
      <c r="L56" s="421"/>
      <c r="M56" s="421"/>
      <c r="N56" s="421"/>
      <c r="O56" s="421"/>
      <c r="P56" s="652"/>
      <c r="Q56" s="638"/>
      <c r="R56" s="638"/>
      <c r="S56" s="638"/>
      <c r="T56" s="638"/>
      <c r="U56" s="638"/>
      <c r="V56" s="31"/>
      <c r="W56" s="29"/>
      <c r="X56" s="29"/>
      <c r="Y56" s="29"/>
      <c r="Z56" s="29"/>
    </row>
    <row r="57" spans="2:26" ht="15" customHeight="1">
      <c r="B57" s="33"/>
      <c r="C57" s="29"/>
      <c r="D57" s="40" t="str">
        <f>PTAout!D62</f>
        <v>Space</v>
      </c>
      <c r="E57" s="47"/>
      <c r="F57" s="190" t="str">
        <f>PTAout!F62</f>
        <v>Dedicated space (yes/no)</v>
      </c>
      <c r="G57" s="190"/>
      <c r="H57" s="190"/>
      <c r="I57" s="190"/>
      <c r="J57" s="404" t="str">
        <f>PTAout!H62</f>
        <v/>
      </c>
      <c r="K57" s="404" t="str">
        <f>PTAout!L62</f>
        <v/>
      </c>
      <c r="L57" s="404" t="str">
        <f>PTAout!Q62</f>
        <v/>
      </c>
      <c r="M57" s="404" t="str">
        <f>PTAout!V62</f>
        <v/>
      </c>
      <c r="N57" s="404" t="str">
        <f>PTAout!AA62</f>
        <v/>
      </c>
      <c r="O57" s="404" t="str">
        <f>PTAout!AF62</f>
        <v/>
      </c>
      <c r="P57" s="192"/>
      <c r="Q57" s="193"/>
      <c r="R57" s="193"/>
      <c r="S57" s="193"/>
      <c r="T57" s="193"/>
      <c r="U57" s="634"/>
      <c r="V57" s="31"/>
      <c r="W57" s="29"/>
      <c r="X57" s="29"/>
      <c r="Y57" s="29"/>
      <c r="Z57" s="29"/>
    </row>
    <row r="58" spans="2:26" ht="15" customHeight="1">
      <c r="B58" s="33"/>
      <c r="C58" s="29"/>
      <c r="D58" s="40" t="str">
        <f>PTAout!D63</f>
        <v>Volume</v>
      </c>
      <c r="E58" s="47"/>
      <c r="F58" s="190" t="str">
        <f>PTAout!F63</f>
        <v/>
      </c>
      <c r="G58" s="190"/>
      <c r="H58" s="190"/>
      <c r="I58" s="190"/>
      <c r="J58" s="404" t="str">
        <f>PTAout!H63</f>
        <v/>
      </c>
      <c r="K58" s="404" t="str">
        <f>PTAout!L63</f>
        <v/>
      </c>
      <c r="L58" s="404" t="str">
        <f>PTAout!Q63</f>
        <v/>
      </c>
      <c r="M58" s="404" t="str">
        <f>PTAout!V63</f>
        <v/>
      </c>
      <c r="N58" s="404" t="str">
        <f>PTAout!AA63</f>
        <v/>
      </c>
      <c r="O58" s="404" t="str">
        <f>PTAout!AF63</f>
        <v/>
      </c>
      <c r="P58" s="192"/>
      <c r="Q58" s="193"/>
      <c r="R58" s="193"/>
      <c r="S58" s="193"/>
      <c r="T58" s="193"/>
      <c r="U58" s="634"/>
      <c r="V58" s="31"/>
      <c r="W58" s="29"/>
      <c r="X58" s="29"/>
      <c r="Y58" s="29"/>
      <c r="Z58" s="29"/>
    </row>
    <row r="59" spans="2:26" ht="15" customHeight="1">
      <c r="B59" s="33"/>
      <c r="C59" s="29"/>
      <c r="D59" s="40" t="str">
        <f>PTAout!D64</f>
        <v>Speed</v>
      </c>
      <c r="E59" s="47"/>
      <c r="F59" s="190" t="str">
        <f>PTAout!F64</f>
        <v/>
      </c>
      <c r="G59" s="190"/>
      <c r="H59" s="190"/>
      <c r="I59" s="190"/>
      <c r="J59" s="404" t="str">
        <f>PTAout!H64</f>
        <v/>
      </c>
      <c r="K59" s="404" t="str">
        <f>PTAout!L64</f>
        <v/>
      </c>
      <c r="L59" s="404" t="str">
        <f>PTAout!Q64</f>
        <v/>
      </c>
      <c r="M59" s="404" t="str">
        <f>PTAout!V64</f>
        <v/>
      </c>
      <c r="N59" s="404" t="str">
        <f>PTAout!AA64</f>
        <v/>
      </c>
      <c r="O59" s="404" t="str">
        <f>PTAout!AF64</f>
        <v/>
      </c>
      <c r="P59" s="190"/>
      <c r="Q59" s="193"/>
      <c r="R59" s="193"/>
      <c r="S59" s="193"/>
      <c r="T59" s="193"/>
      <c r="U59" s="634"/>
      <c r="V59" s="31"/>
      <c r="W59" s="29"/>
      <c r="X59" s="29"/>
      <c r="Y59" s="29"/>
      <c r="Z59" s="29"/>
    </row>
    <row r="60" spans="2:26" ht="15" customHeight="1">
      <c r="B60" s="33"/>
      <c r="C60" s="29"/>
      <c r="D60" s="40" t="str">
        <f>PTAout!D65</f>
        <v>Travel time</v>
      </c>
      <c r="E60" s="47"/>
      <c r="F60" s="190" t="str">
        <f>PTAout!F65</f>
        <v/>
      </c>
      <c r="G60" s="676" t="str">
        <f>IF(CBAin!P23&lt;&gt;"",CBAin!P23,IF(CBAin!M23&lt;&gt;"",CBAin!M23,""))</f>
        <v/>
      </c>
      <c r="H60" s="190" t="str">
        <f>IF(CBAin!O23&lt;&gt;"",CBAin!O23,IF(CBAin!L23&lt;&gt;"",CBAin!L23,""))</f>
        <v/>
      </c>
      <c r="I60" s="190"/>
      <c r="J60" s="404" t="str">
        <f>PTAout!H65</f>
        <v/>
      </c>
      <c r="K60" s="404" t="str">
        <f>PTAout!L65</f>
        <v/>
      </c>
      <c r="L60" s="404" t="str">
        <f>PTAout!Q65</f>
        <v/>
      </c>
      <c r="M60" s="404" t="str">
        <f>PTAout!V65</f>
        <v/>
      </c>
      <c r="N60" s="404" t="str">
        <f>PTAout!AA65</f>
        <v/>
      </c>
      <c r="O60" s="404" t="str">
        <f>PTAout!AF65</f>
        <v/>
      </c>
      <c r="P60" s="190"/>
      <c r="Q60" s="679" t="str">
        <f>IF(OR(code0="",code1="",years="",$G60="",$J58="",$J60="",K58="",K60=""),"",years*365*16*IF(OR($G60="",K60="",K58="",$J60="",$J58=""),"",$G60*(K60*K58-$J60*$J58)))</f>
        <v/>
      </c>
      <c r="R60" s="679" t="str">
        <f>IF(OR(code0="",code2="",years="",$G60="",$J58="",$J60="",L58="",L60=""),"",years*365*16*IF(OR($G60="",L60="",L58="",$J60="",$J58=""),"",$G60*(L60*L58-$J60*$J58)))</f>
        <v/>
      </c>
      <c r="S60" s="679" t="str">
        <f>IF(OR(code0="",code3="",years="",$G60="",$J58="",$J60="",M58="",M60=""),"",years*365*16*IF(OR($G60="",M60="",M58="",$J60="",$J58=""),"",$G60*(M60*M58-$J60*$J58)))</f>
        <v/>
      </c>
      <c r="T60" s="679" t="str">
        <f>IF(OR(code0="",code4="",years="",$G60="",$J58="",$J60="",N58="",N60=""),"",years*365*16*IF(OR($G60="",N60="",N58="",$J60="",$J58=""),"",$G60*(N60*N58-$J60*$J58)))</f>
        <v/>
      </c>
      <c r="U60" s="679" t="str">
        <f>IF(OR(code0="",code5="",years="",$G60="",$J58="",$J60="",O58="",O60=""),"",years*365*16*IF(OR($G60="",O60="",O58="",$J60="",$J58=""),"",$G60*(O60*O58-$J60*$J58)))</f>
        <v/>
      </c>
      <c r="V60" s="31"/>
      <c r="W60" s="29"/>
      <c r="X60" s="29"/>
      <c r="Y60" s="29"/>
      <c r="Z60" s="29"/>
    </row>
    <row r="61" spans="2:26" ht="15" customHeight="1">
      <c r="B61" s="33"/>
      <c r="C61" s="29"/>
      <c r="D61" s="40" t="str">
        <f>PTAout!D66</f>
        <v>Delays</v>
      </c>
      <c r="E61" s="47"/>
      <c r="F61" s="190" t="str">
        <f>PTAout!F66</f>
        <v/>
      </c>
      <c r="G61" s="676" t="str">
        <f>IF(CBAin!P39&lt;&gt;"",CBAin!P39,IF(AND(LEFT($F61,13)="Average delay",CBAin!M39&lt;&gt;""),CBAin!M39,""))</f>
        <v/>
      </c>
      <c r="H61" s="190" t="str">
        <f>IF(CBAin!O39&lt;&gt;"",CBAin!O39,IF(AND(LEFT($F61,13)="Average delay",CBAin!L39&lt;&gt;""),CBAin!L39,""))</f>
        <v/>
      </c>
      <c r="I61" s="190"/>
      <c r="J61" s="405" t="str">
        <f>PTAout!H66</f>
        <v/>
      </c>
      <c r="K61" s="405" t="str">
        <f>PTAout!L66</f>
        <v/>
      </c>
      <c r="L61" s="405" t="str">
        <f>PTAout!Q66</f>
        <v/>
      </c>
      <c r="M61" s="405" t="str">
        <f>PTAout!V66</f>
        <v/>
      </c>
      <c r="N61" s="405" t="str">
        <f>PTAout!AA66</f>
        <v/>
      </c>
      <c r="O61" s="399" t="str">
        <f>PTAout!AF66</f>
        <v/>
      </c>
      <c r="P61" s="190"/>
      <c r="Q61" s="679" t="str">
        <f>IF(OR(code0="",code1="",years="",$G61="",$J58="",$J61="",K58="",K61=""),"",years*365*16*IF(OR($G60="",$G61="",K61="",K58="",$J61="",$J58=""),"",$G61*$G60*(K61*K58-$J61*$J58)))</f>
        <v/>
      </c>
      <c r="R61" s="679" t="str">
        <f>IF(OR(code0="",code2="",years="",$G61="",$J58="",$J61="",L58="",L61=""),"",years*365*16*IF(OR($G60="",$G61="",L61="",L58="",$J61="",$J58=""),"",$G61*$G60*(L61*L58-$J61*$J58)))</f>
        <v/>
      </c>
      <c r="S61" s="679" t="str">
        <f>IF(OR(code0="",code3="",years="",$G61="",$J58="",$J61="",M58="",M61=""),"",years*365*16*IF(OR($G60="",$G61="",M61="",M58="",$J61="",$J58=""),"",$G61*$G60*(M61*M58-$J61*$J58)))</f>
        <v/>
      </c>
      <c r="T61" s="679" t="str">
        <f>IF(OR(code0="",code4="",years="",$G61="",$J58="",$J61="",N58="",N61=""),"",years*365*16*IF(OR($G60="",$G61="",N61="",N58="",$J61="",$J58=""),"",$G61*$G60*(N61*N58-$J61*$J58)))</f>
        <v/>
      </c>
      <c r="U61" s="679" t="str">
        <f>IF(OR(code0="",code5="",years="",$G61="",$J58="",$J61="",O58="",O61=""),"",years*365*16*IF(OR($G60="",$G61="",O61="",O58="",$J61="",$J58=""),"",$G61*$G60*(O61*O58-$J61*$J58)))</f>
        <v/>
      </c>
      <c r="V61" s="31"/>
      <c r="W61" s="29"/>
      <c r="X61" s="29"/>
      <c r="Y61" s="29"/>
      <c r="Z61" s="29"/>
    </row>
    <row r="62" spans="2:26" ht="15" customHeight="1">
      <c r="B62" s="33"/>
      <c r="C62" s="29"/>
      <c r="D62" s="40" t="str">
        <f>PTAout!D67</f>
        <v>Reliability</v>
      </c>
      <c r="E62" s="47"/>
      <c r="F62" s="190" t="str">
        <f>PTAout!F67</f>
        <v/>
      </c>
      <c r="G62" s="676" t="str">
        <f>IF(CBAin!P47&lt;&gt;"",CBAin!P47,IF(AND($F62="Standard deviation of travel time",CBAin!M47&lt;&gt;""),CBAin!M47,""))</f>
        <v/>
      </c>
      <c r="H62" s="190" t="str">
        <f>IF(CBAin!O47&lt;&gt;"",CBAin!O47,IF(AND($F62="Standard deviation of travel time",CBAin!L47&lt;&gt;""),CBAin!L47,""))</f>
        <v/>
      </c>
      <c r="I62" s="190"/>
      <c r="J62" s="399" t="str">
        <f>PTAout!H67</f>
        <v/>
      </c>
      <c r="K62" s="399" t="str">
        <f>PTAout!L67</f>
        <v/>
      </c>
      <c r="L62" s="399" t="str">
        <f>PTAout!Q67</f>
        <v/>
      </c>
      <c r="M62" s="399" t="str">
        <f>PTAout!V67</f>
        <v/>
      </c>
      <c r="N62" s="399" t="str">
        <f>PTAout!AA67</f>
        <v/>
      </c>
      <c r="O62" s="399" t="str">
        <f>PTAout!AF67</f>
        <v/>
      </c>
      <c r="P62" s="190"/>
      <c r="Q62" s="193"/>
      <c r="R62" s="193"/>
      <c r="S62" s="193"/>
      <c r="T62" s="193"/>
      <c r="U62" s="634"/>
      <c r="V62" s="31"/>
      <c r="W62" s="29"/>
      <c r="X62" s="29"/>
      <c r="Y62" s="29"/>
      <c r="Z62" s="29"/>
    </row>
    <row r="63" spans="2:26" ht="15" customHeight="1">
      <c r="B63" s="33"/>
      <c r="C63" s="59"/>
      <c r="D63" s="402" t="str">
        <f>PTAout!D68</f>
        <v>Trip quality</v>
      </c>
      <c r="E63" s="85"/>
      <c r="F63" s="294" t="str">
        <f>PTAout!F68</f>
        <v/>
      </c>
      <c r="G63" s="681" t="str">
        <f>IF(CBAin!P31&lt;&gt;"",CBAin!P31,IF(AND($F63="time travelling in congested conditions (minutes)",CBAin!M31&lt;&gt;""),CBAin!M31,""))</f>
        <v/>
      </c>
      <c r="H63" s="294" t="str">
        <f>IF(CBAin!O31&lt;&gt;"",CBAin!O31,IF(AND($F63="time travelling in congested conditions (minutes)",CBAin!L31&lt;&gt;""),CBAin!L31,""))</f>
        <v/>
      </c>
      <c r="I63" s="190"/>
      <c r="J63" s="302" t="str">
        <f>PTAout!H68</f>
        <v/>
      </c>
      <c r="K63" s="302" t="str">
        <f>PTAout!L68</f>
        <v/>
      </c>
      <c r="L63" s="302" t="str">
        <f>PTAout!Q68</f>
        <v/>
      </c>
      <c r="M63" s="302" t="str">
        <f>PTAout!V68</f>
        <v/>
      </c>
      <c r="N63" s="302" t="str">
        <f>PTAout!AA68</f>
        <v/>
      </c>
      <c r="O63" s="302" t="str">
        <f>PTAout!AF68</f>
        <v/>
      </c>
      <c r="P63" s="190"/>
      <c r="Q63" s="682"/>
      <c r="R63" s="682"/>
      <c r="S63" s="682"/>
      <c r="T63" s="682"/>
      <c r="U63" s="683"/>
      <c r="V63" s="31"/>
      <c r="W63" s="29"/>
      <c r="X63" s="29"/>
      <c r="Y63" s="29"/>
      <c r="Z63" s="29"/>
    </row>
    <row r="64" spans="2:26" ht="15" customHeight="1">
      <c r="B64" s="33"/>
      <c r="C64" s="202" t="str">
        <f>PTAout!C69</f>
        <v>Buses</v>
      </c>
      <c r="D64" s="47"/>
      <c r="E64" s="47"/>
      <c r="F64" s="223"/>
      <c r="G64" s="652"/>
      <c r="H64" s="652"/>
      <c r="I64" s="652"/>
      <c r="J64" s="421"/>
      <c r="K64" s="421"/>
      <c r="L64" s="421"/>
      <c r="M64" s="421"/>
      <c r="N64" s="421"/>
      <c r="O64" s="421"/>
      <c r="P64" s="652"/>
      <c r="Q64" s="638"/>
      <c r="R64" s="638"/>
      <c r="S64" s="638"/>
      <c r="T64" s="638"/>
      <c r="U64" s="638"/>
      <c r="V64" s="31"/>
      <c r="W64" s="29"/>
      <c r="X64" s="29"/>
      <c r="Y64" s="29"/>
      <c r="Z64" s="29"/>
    </row>
    <row r="65" spans="2:26" ht="15" customHeight="1">
      <c r="B65" s="33"/>
      <c r="C65" s="29"/>
      <c r="D65" s="40" t="str">
        <f>PTAout!D70</f>
        <v>Space</v>
      </c>
      <c r="E65" s="47"/>
      <c r="F65" s="190" t="str">
        <f>PTAout!F70</f>
        <v>Width available (dedicated space)</v>
      </c>
      <c r="G65" s="190"/>
      <c r="H65" s="190"/>
      <c r="I65" s="190"/>
      <c r="J65" s="404" t="str">
        <f>PTAout!H70</f>
        <v/>
      </c>
      <c r="K65" s="404" t="str">
        <f>PTAout!L70</f>
        <v/>
      </c>
      <c r="L65" s="404" t="str">
        <f>PTAout!Q70</f>
        <v/>
      </c>
      <c r="M65" s="404" t="str">
        <f>PTAout!V70</f>
        <v/>
      </c>
      <c r="N65" s="404" t="str">
        <f>PTAout!AA70</f>
        <v/>
      </c>
      <c r="O65" s="404" t="str">
        <f>PTAout!AF70</f>
        <v/>
      </c>
      <c r="P65" s="192"/>
      <c r="Q65" s="193"/>
      <c r="R65" s="193"/>
      <c r="S65" s="193"/>
      <c r="T65" s="193"/>
      <c r="U65" s="634"/>
      <c r="V65" s="31"/>
      <c r="W65" s="29"/>
      <c r="X65" s="29"/>
      <c r="Y65" s="29"/>
      <c r="Z65" s="29"/>
    </row>
    <row r="66" spans="2:26" ht="15" customHeight="1">
      <c r="B66" s="33"/>
      <c r="C66" s="29"/>
      <c r="D66" s="40" t="str">
        <f>PTAout!D71</f>
        <v>Volume</v>
      </c>
      <c r="E66" s="47"/>
      <c r="F66" s="190" t="str">
        <f>PTAout!F71</f>
        <v/>
      </c>
      <c r="G66" s="190"/>
      <c r="H66" s="190"/>
      <c r="I66" s="190"/>
      <c r="J66" s="404" t="str">
        <f>PTAout!H71</f>
        <v/>
      </c>
      <c r="K66" s="404" t="str">
        <f>PTAout!L71</f>
        <v/>
      </c>
      <c r="L66" s="404" t="str">
        <f>PTAout!Q71</f>
        <v/>
      </c>
      <c r="M66" s="404" t="str">
        <f>PTAout!V71</f>
        <v/>
      </c>
      <c r="N66" s="404" t="str">
        <f>PTAout!AA71</f>
        <v/>
      </c>
      <c r="O66" s="404" t="str">
        <f>PTAout!AF71</f>
        <v/>
      </c>
      <c r="P66" s="192"/>
      <c r="Q66" s="193"/>
      <c r="R66" s="193"/>
      <c r="S66" s="193"/>
      <c r="T66" s="193"/>
      <c r="U66" s="634"/>
      <c r="V66" s="31"/>
      <c r="W66" s="29"/>
      <c r="X66" s="29"/>
      <c r="Y66" s="29"/>
      <c r="Z66" s="29"/>
    </row>
    <row r="67" spans="2:26" ht="15" customHeight="1">
      <c r="B67" s="33"/>
      <c r="C67" s="29"/>
      <c r="D67" s="40" t="str">
        <f>PTAout!D72</f>
        <v>Speed</v>
      </c>
      <c r="E67" s="47"/>
      <c r="F67" s="190" t="str">
        <f>PTAout!F72</f>
        <v/>
      </c>
      <c r="G67" s="190"/>
      <c r="H67" s="190"/>
      <c r="I67" s="190"/>
      <c r="J67" s="404" t="str">
        <f>PTAout!H72</f>
        <v/>
      </c>
      <c r="K67" s="404" t="str">
        <f>PTAout!L72</f>
        <v/>
      </c>
      <c r="L67" s="404" t="str">
        <f>PTAout!Q72</f>
        <v/>
      </c>
      <c r="M67" s="404" t="str">
        <f>PTAout!V72</f>
        <v/>
      </c>
      <c r="N67" s="404" t="str">
        <f>PTAout!AA72</f>
        <v/>
      </c>
      <c r="O67" s="404" t="str">
        <f>PTAout!AF72</f>
        <v/>
      </c>
      <c r="P67" s="190"/>
      <c r="Q67" s="193"/>
      <c r="R67" s="193"/>
      <c r="S67" s="193"/>
      <c r="T67" s="193"/>
      <c r="U67" s="634"/>
      <c r="V67" s="31"/>
      <c r="W67" s="29"/>
      <c r="X67" s="29"/>
      <c r="Y67" s="29"/>
      <c r="Z67" s="29"/>
    </row>
    <row r="68" spans="2:26" ht="15" customHeight="1">
      <c r="B68" s="33"/>
      <c r="C68" s="29"/>
      <c r="D68" s="40" t="str">
        <f>PTAout!D73</f>
        <v>Travel time</v>
      </c>
      <c r="E68" s="47"/>
      <c r="F68" s="190" t="str">
        <f>PTAout!F73</f>
        <v/>
      </c>
      <c r="G68" s="676" t="str">
        <f>IF(CBAin!P24&lt;&gt;"",CBAin!P24,IF(CBAin!M24&lt;&gt;"",CBAin!M24,""))</f>
        <v/>
      </c>
      <c r="H68" s="190" t="str">
        <f>IF(CBAin!O24&lt;&gt;"",CBAin!O24,IF(CBAin!L24&lt;&gt;"",CBAin!L24,""))</f>
        <v/>
      </c>
      <c r="I68" s="190"/>
      <c r="J68" s="404" t="str">
        <f>PTAout!H73</f>
        <v/>
      </c>
      <c r="K68" s="404" t="str">
        <f>PTAout!L73</f>
        <v/>
      </c>
      <c r="L68" s="404" t="str">
        <f>PTAout!Q73</f>
        <v/>
      </c>
      <c r="M68" s="404" t="str">
        <f>PTAout!V73</f>
        <v/>
      </c>
      <c r="N68" s="404" t="str">
        <f>PTAout!AA73</f>
        <v/>
      </c>
      <c r="O68" s="404" t="str">
        <f>PTAout!AF73</f>
        <v/>
      </c>
      <c r="P68" s="190"/>
      <c r="Q68" s="679" t="str">
        <f>IF(OR(code0="",code1="",years="",$G68="",$J66="",$J68="",K66="",K68=""),"",years*365*16*IF(OR($G68="",K68="",K66="",$J68="",$J66=""),"",$G68*(K68*K66-$J68*$J66)))</f>
        <v/>
      </c>
      <c r="R68" s="679" t="str">
        <f>IF(OR(code0="",code2="",years="",$G68="",$J66="",$J68="",L66="",L68=""),"",years*365*16*IF(OR($G68="",L68="",L66="",$J68="",$J66=""),"",$G68*(L68*L66-$J68*$J66)))</f>
        <v/>
      </c>
      <c r="S68" s="679" t="str">
        <f>IF(OR(code0="",code3="",years="",$G68="",$J66="",$J68="",M66="",M68=""),"",years*365*16*IF(OR($G68="",M68="",M66="",$J68="",$J66=""),"",$G68*(M68*M66-$J68*$J66)))</f>
        <v/>
      </c>
      <c r="T68" s="679" t="str">
        <f>IF(OR(code0="",code4="",years="",$G68="",$J66="",$J68="",N66="",N68=""),"",years*365*16*IF(OR($G68="",N68="",N66="",$J68="",$J66=""),"",$G68*(N68*N66-$J68*$J66)))</f>
        <v/>
      </c>
      <c r="U68" s="679" t="str">
        <f>IF(OR(code0="",code5="",years="",$G68="",$J66="",$J68="",O66="",O68=""),"",years*365*16*IF(OR($G68="",O68="",O66="",$J68="",$J66=""),"",$G68*(O68*O66-$J68*$J66)))</f>
        <v/>
      </c>
      <c r="V68" s="31"/>
      <c r="W68" s="29"/>
      <c r="X68" s="29"/>
      <c r="Y68" s="29"/>
      <c r="Z68" s="29"/>
    </row>
    <row r="69" spans="2:26" ht="15" customHeight="1">
      <c r="B69" s="33"/>
      <c r="C69" s="29"/>
      <c r="D69" s="40" t="str">
        <f>PTAout!D74</f>
        <v>Delays</v>
      </c>
      <c r="E69" s="47"/>
      <c r="F69" s="190" t="str">
        <f>PTAout!F74</f>
        <v/>
      </c>
      <c r="G69" s="676" t="str">
        <f>IF(CBAin!P40&lt;&gt;"",CBAin!P40,IF(AND(LEFT($F69,13)="Average delay",CBAin!M40&lt;&gt;""),CBAin!M40,""))</f>
        <v/>
      </c>
      <c r="H69" s="190" t="str">
        <f>IF(CBAin!O40&lt;&gt;"",CBAin!O40,IF(AND(LEFT($F69,13)="Average delay",CBAin!L40&lt;&gt;""),CBAin!L40,""))</f>
        <v/>
      </c>
      <c r="I69" s="190"/>
      <c r="J69" s="405" t="str">
        <f>PTAout!H74</f>
        <v/>
      </c>
      <c r="K69" s="405" t="str">
        <f>PTAout!L74</f>
        <v/>
      </c>
      <c r="L69" s="405" t="str">
        <f>PTAout!Q74</f>
        <v/>
      </c>
      <c r="M69" s="405" t="str">
        <f>PTAout!V74</f>
        <v/>
      </c>
      <c r="N69" s="405" t="str">
        <f>PTAout!AA74</f>
        <v/>
      </c>
      <c r="O69" s="399" t="str">
        <f>PTAout!AF74</f>
        <v/>
      </c>
      <c r="P69" s="190"/>
      <c r="Q69" s="679" t="str">
        <f>IF(OR(code0="",code1="",years="",$G69="",$J66="",$J69="",K66="",K69=""),"",years*365*16*IF(OR($G68="",$G69="",K69="",K66="",$J69="",$J66=""),"",$G69*$G68*(K69*K66-$J69*$J66)))</f>
        <v/>
      </c>
      <c r="R69" s="679" t="str">
        <f>IF(OR(code0="",code2="",years="",$G69="",$J66="",$J69="",L66="",L69=""),"",years*365*16*IF(OR($G68="",$G69="",L69="",L66="",$J69="",$J66=""),"",$G69*$G68*(L69*L66-$J69*$J66)))</f>
        <v/>
      </c>
      <c r="S69" s="679" t="str">
        <f>IF(OR(code0="",code3="",years="",$G69="",$J66="",$J69="",M66="",M69=""),"",years*365*16*IF(OR($G68="",$G69="",M69="",M66="",$J69="",$J66=""),"",$G69*$G68*(M69*M66-$J69*$J66)))</f>
        <v/>
      </c>
      <c r="T69" s="679" t="str">
        <f>IF(OR(code0="",code4="",years="",$G69="",$J66="",$J69="",N66="",N69=""),"",years*365*16*IF(OR($G68="",$G69="",N69="",N66="",$J69="",$J66=""),"",$G69*$G68*(N69*N66-$J69*$J66)))</f>
        <v/>
      </c>
      <c r="U69" s="679" t="str">
        <f>IF(OR(code0="",code5="",years="",$G69="",$J66="",$J69="",O66="",O69=""),"",years*365*16*IF(OR($G68="",$G69="",O69="",O66="",$J69="",$J66=""),"",$G69*$G68*(O69*O66-$J69*$J66)))</f>
        <v/>
      </c>
      <c r="V69" s="31"/>
      <c r="W69" s="29"/>
      <c r="X69" s="29"/>
      <c r="Y69" s="29"/>
      <c r="Z69" s="29"/>
    </row>
    <row r="70" spans="2:26" ht="15" customHeight="1">
      <c r="B70" s="33"/>
      <c r="C70" s="29"/>
      <c r="D70" s="40" t="str">
        <f>PTAout!D75</f>
        <v>Reliability</v>
      </c>
      <c r="E70" s="47"/>
      <c r="F70" s="190" t="str">
        <f>PTAout!F75</f>
        <v/>
      </c>
      <c r="G70" s="676" t="str">
        <f>IF(CBAin!P48&lt;&gt;"",CBAin!P48,IF(AND($F70="Standard deviation of travel time",CBAin!M48&lt;&gt;""),CBAin!M48,""))</f>
        <v/>
      </c>
      <c r="H70" s="190" t="str">
        <f>IF(CBAin!O48&lt;&gt;"",CBAin!O48,IF(AND($F70="Standard deviation of travel time",CBAin!L48&lt;&gt;""),CBAin!L48,""))</f>
        <v/>
      </c>
      <c r="I70" s="190"/>
      <c r="J70" s="399" t="str">
        <f>PTAout!H75</f>
        <v/>
      </c>
      <c r="K70" s="399" t="str">
        <f>PTAout!L75</f>
        <v/>
      </c>
      <c r="L70" s="399" t="str">
        <f>PTAout!Q75</f>
        <v/>
      </c>
      <c r="M70" s="399" t="str">
        <f>PTAout!V75</f>
        <v/>
      </c>
      <c r="N70" s="399" t="str">
        <f>PTAout!AA75</f>
        <v/>
      </c>
      <c r="O70" s="399" t="str">
        <f>PTAout!AF75</f>
        <v/>
      </c>
      <c r="P70" s="190"/>
      <c r="Q70" s="193"/>
      <c r="R70" s="193"/>
      <c r="S70" s="193"/>
      <c r="T70" s="193"/>
      <c r="U70" s="634"/>
      <c r="V70" s="31"/>
      <c r="W70" s="29"/>
      <c r="X70" s="29"/>
      <c r="Y70" s="29"/>
      <c r="Z70" s="29"/>
    </row>
    <row r="71" spans="2:26" ht="15" customHeight="1">
      <c r="B71" s="33"/>
      <c r="C71" s="59"/>
      <c r="D71" s="402" t="str">
        <f>PTAout!D76</f>
        <v>Trip quality</v>
      </c>
      <c r="E71" s="85"/>
      <c r="F71" s="294" t="str">
        <f>PTAout!F76</f>
        <v/>
      </c>
      <c r="G71" s="681" t="str">
        <f>IF(CBAin!P32&lt;&gt;"",CBAin!P32,IF(AND($F71="time travelling in congested conditions (minutes)",CBAin!M32&lt;&gt;""),CBAin!M32,""))</f>
        <v/>
      </c>
      <c r="H71" s="294" t="str">
        <f>IF(CBAin!O32&lt;&gt;"",CBAin!O32,IF(AND($F71="time travelling in congested conditions (minutes)",CBAin!L32&lt;&gt;""),CBAin!L32,""))</f>
        <v/>
      </c>
      <c r="I71" s="190"/>
      <c r="J71" s="302" t="str">
        <f>PTAout!H76</f>
        <v/>
      </c>
      <c r="K71" s="302" t="str">
        <f>PTAout!L76</f>
        <v/>
      </c>
      <c r="L71" s="302" t="str">
        <f>PTAout!Q76</f>
        <v/>
      </c>
      <c r="M71" s="302" t="str">
        <f>PTAout!V76</f>
        <v/>
      </c>
      <c r="N71" s="302" t="str">
        <f>PTAout!AA76</f>
        <v/>
      </c>
      <c r="O71" s="302" t="str">
        <f>PTAout!AF76</f>
        <v/>
      </c>
      <c r="P71" s="190"/>
      <c r="Q71" s="682"/>
      <c r="R71" s="682"/>
      <c r="S71" s="682"/>
      <c r="T71" s="682"/>
      <c r="U71" s="683"/>
      <c r="V71" s="31"/>
      <c r="W71" s="29"/>
      <c r="X71" s="29"/>
      <c r="Y71" s="29"/>
      <c r="Z71" s="29"/>
    </row>
    <row r="72" spans="2:26" ht="15" customHeight="1">
      <c r="B72" s="33"/>
      <c r="C72" s="202" t="str">
        <f>PTAout!C77</f>
        <v>Cars/taxis</v>
      </c>
      <c r="D72" s="47"/>
      <c r="E72" s="47"/>
      <c r="F72" s="223"/>
      <c r="G72" s="652"/>
      <c r="H72" s="652"/>
      <c r="I72" s="652"/>
      <c r="J72" s="421"/>
      <c r="K72" s="421"/>
      <c r="L72" s="421"/>
      <c r="M72" s="421"/>
      <c r="N72" s="421"/>
      <c r="O72" s="421"/>
      <c r="P72" s="652"/>
      <c r="Q72" s="638"/>
      <c r="R72" s="638"/>
      <c r="S72" s="638"/>
      <c r="T72" s="638"/>
      <c r="U72" s="638"/>
      <c r="V72" s="31"/>
      <c r="W72" s="29"/>
      <c r="X72" s="29"/>
      <c r="Y72" s="29"/>
      <c r="Z72" s="29"/>
    </row>
    <row r="73" spans="2:26" ht="15" customHeight="1">
      <c r="B73" s="33"/>
      <c r="C73" s="29"/>
      <c r="D73" s="40" t="str">
        <f>PTAout!D78</f>
        <v>Space</v>
      </c>
      <c r="E73" s="47"/>
      <c r="F73" s="190" t="str">
        <f>PTAout!F78</f>
        <v>Width available</v>
      </c>
      <c r="G73" s="190"/>
      <c r="H73" s="190"/>
      <c r="I73" s="190"/>
      <c r="J73" s="404" t="str">
        <f>PTAout!H78</f>
        <v/>
      </c>
      <c r="K73" s="404" t="str">
        <f>PTAout!L78</f>
        <v/>
      </c>
      <c r="L73" s="404" t="str">
        <f>PTAout!Q78</f>
        <v/>
      </c>
      <c r="M73" s="404" t="str">
        <f>PTAout!V78</f>
        <v/>
      </c>
      <c r="N73" s="404" t="str">
        <f>PTAout!AA78</f>
        <v/>
      </c>
      <c r="O73" s="404" t="str">
        <f>PTAout!AF78</f>
        <v/>
      </c>
      <c r="P73" s="192"/>
      <c r="Q73" s="193"/>
      <c r="R73" s="193"/>
      <c r="S73" s="193"/>
      <c r="T73" s="193"/>
      <c r="U73" s="634"/>
      <c r="V73" s="31"/>
      <c r="W73" s="29"/>
      <c r="X73" s="29"/>
      <c r="Y73" s="29"/>
      <c r="Z73" s="29"/>
    </row>
    <row r="74" spans="2:26" ht="15" customHeight="1">
      <c r="B74" s="33"/>
      <c r="C74" s="29"/>
      <c r="D74" s="40" t="str">
        <f>PTAout!D79</f>
        <v>Volume</v>
      </c>
      <c r="E74" s="47"/>
      <c r="F74" s="190" t="str">
        <f>PTAout!F79</f>
        <v/>
      </c>
      <c r="G74" s="190"/>
      <c r="H74" s="190"/>
      <c r="I74" s="190"/>
      <c r="J74" s="404" t="str">
        <f>PTAout!H79</f>
        <v/>
      </c>
      <c r="K74" s="404" t="str">
        <f>PTAout!L79</f>
        <v/>
      </c>
      <c r="L74" s="404" t="str">
        <f>PTAout!Q79</f>
        <v/>
      </c>
      <c r="M74" s="404" t="str">
        <f>PTAout!V79</f>
        <v/>
      </c>
      <c r="N74" s="404" t="str">
        <f>PTAout!AA79</f>
        <v/>
      </c>
      <c r="O74" s="404" t="str">
        <f>PTAout!AF79</f>
        <v/>
      </c>
      <c r="P74" s="192"/>
      <c r="Q74" s="193"/>
      <c r="R74" s="193"/>
      <c r="S74" s="193"/>
      <c r="T74" s="193"/>
      <c r="U74" s="634"/>
      <c r="V74" s="31"/>
      <c r="W74" s="29"/>
      <c r="X74" s="29"/>
      <c r="Y74" s="29"/>
      <c r="Z74" s="29"/>
    </row>
    <row r="75" spans="2:26" ht="15" customHeight="1">
      <c r="B75" s="33"/>
      <c r="C75" s="29"/>
      <c r="D75" s="40" t="str">
        <f>PTAout!D80</f>
        <v>Speed</v>
      </c>
      <c r="E75" s="47"/>
      <c r="F75" s="190" t="str">
        <f>PTAout!F80</f>
        <v/>
      </c>
      <c r="G75" s="190"/>
      <c r="H75" s="190"/>
      <c r="I75" s="190"/>
      <c r="J75" s="404" t="str">
        <f>PTAout!H80</f>
        <v/>
      </c>
      <c r="K75" s="404" t="str">
        <f>PTAout!L80</f>
        <v/>
      </c>
      <c r="L75" s="404" t="str">
        <f>PTAout!Q80</f>
        <v/>
      </c>
      <c r="M75" s="404" t="str">
        <f>PTAout!V80</f>
        <v/>
      </c>
      <c r="N75" s="404" t="str">
        <f>PTAout!AA80</f>
        <v/>
      </c>
      <c r="O75" s="404" t="str">
        <f>PTAout!AF80</f>
        <v/>
      </c>
      <c r="P75" s="190"/>
      <c r="Q75" s="193"/>
      <c r="R75" s="193"/>
      <c r="S75" s="193"/>
      <c r="T75" s="193"/>
      <c r="U75" s="634"/>
      <c r="V75" s="31"/>
      <c r="W75" s="29"/>
      <c r="X75" s="29"/>
      <c r="Y75" s="29"/>
      <c r="Z75" s="29"/>
    </row>
    <row r="76" spans="2:26" ht="15" customHeight="1">
      <c r="B76" s="33"/>
      <c r="C76" s="29"/>
      <c r="D76" s="40" t="str">
        <f>PTAout!D81</f>
        <v>Travel time</v>
      </c>
      <c r="E76" s="47"/>
      <c r="F76" s="190" t="str">
        <f>PTAout!F81</f>
        <v/>
      </c>
      <c r="G76" s="676" t="str">
        <f>IF(CBAin!P25&lt;&gt;"",CBAin!P25,IF(CBAin!M25&lt;&gt;"",CBAin!M25,""))</f>
        <v/>
      </c>
      <c r="H76" s="190" t="str">
        <f>IF(CBAin!O25&lt;&gt;"",CBAin!O25,IF(CBAin!L25&lt;&gt;"",CBAin!L25,""))</f>
        <v/>
      </c>
      <c r="I76" s="190"/>
      <c r="J76" s="404" t="str">
        <f>PTAout!H81</f>
        <v/>
      </c>
      <c r="K76" s="404" t="str">
        <f>PTAout!L81</f>
        <v/>
      </c>
      <c r="L76" s="404" t="str">
        <f>PTAout!Q81</f>
        <v/>
      </c>
      <c r="M76" s="404" t="str">
        <f>PTAout!V81</f>
        <v/>
      </c>
      <c r="N76" s="404" t="str">
        <f>PTAout!AA81</f>
        <v/>
      </c>
      <c r="O76" s="404" t="str">
        <f>PTAout!AF81</f>
        <v/>
      </c>
      <c r="P76" s="190"/>
      <c r="Q76" s="679" t="str">
        <f>IF(OR(code0="",code1="",years="",$G76="",$J74="",$J76="",K74="",K76=""),"",years*365*16*IF(OR($G76="",K76="",K74="",$J76="",$J74=""),"",$G76*(K76*K74-$J76*$J74)))</f>
        <v/>
      </c>
      <c r="R76" s="679" t="str">
        <f>IF(OR(code0="",code2="",years="",$G76="",$J74="",$J76="",L74="",L76=""),"",years*365*16*IF(OR($G76="",L76="",L74="",$J76="",$J74=""),"",$G76*(L76*L74-$J76*$J74)))</f>
        <v/>
      </c>
      <c r="S76" s="679" t="str">
        <f>IF(OR(code0="",code3="",years="",$G76="",$J74="",$J76="",M74="",M76=""),"",years*365*16*IF(OR($G76="",M76="",M74="",$J76="",$J74=""),"",$G76*(M76*M74-$J76*$J74)))</f>
        <v/>
      </c>
      <c r="T76" s="679" t="str">
        <f>IF(OR(code0="",code4="",years="",$G76="",$J74="",$J76="",N74="",N76=""),"",years*365*16*IF(OR($G76="",N76="",N74="",$J76="",$J74=""),"",$G76*(N76*N74-$J76*$J74)))</f>
        <v/>
      </c>
      <c r="U76" s="679" t="str">
        <f>IF(OR(code0="",code5="",years="",$G76="",$J74="",$J76="",O74="",O76=""),"",years*365*16*IF(OR($G76="",O76="",O74="",$J76="",$J74=""),"",$G76*(O76*O74-$J76*$J74)))</f>
        <v/>
      </c>
      <c r="V76" s="31"/>
      <c r="W76" s="29"/>
      <c r="X76" s="29"/>
      <c r="Y76" s="29"/>
      <c r="Z76" s="29"/>
    </row>
    <row r="77" spans="2:26" ht="15" customHeight="1">
      <c r="B77" s="33"/>
      <c r="C77" s="29"/>
      <c r="D77" s="40" t="str">
        <f>PTAout!D82</f>
        <v>Delays</v>
      </c>
      <c r="E77" s="47"/>
      <c r="F77" s="190" t="str">
        <f>PTAout!F82</f>
        <v/>
      </c>
      <c r="G77" s="676" t="str">
        <f>IF(CBAin!P41&lt;&gt;"",CBAin!P41,IF(AND(LEFT($F77,13)="Average delay",CBAin!M41&lt;&gt;""),CBAin!M41,""))</f>
        <v/>
      </c>
      <c r="H77" s="190" t="str">
        <f>IF(CBAin!O41&lt;&gt;"",CBAin!O41,IF(AND(LEFT($F77,13)="Average delay",CBAin!L41&lt;&gt;""),CBAin!L41,""))</f>
        <v/>
      </c>
      <c r="I77" s="190"/>
      <c r="J77" s="405" t="str">
        <f>PTAout!H82</f>
        <v/>
      </c>
      <c r="K77" s="405" t="str">
        <f>PTAout!L82</f>
        <v/>
      </c>
      <c r="L77" s="405" t="str">
        <f>PTAout!Q82</f>
        <v/>
      </c>
      <c r="M77" s="405" t="str">
        <f>PTAout!V82</f>
        <v/>
      </c>
      <c r="N77" s="405" t="str">
        <f>PTAout!AA82</f>
        <v/>
      </c>
      <c r="O77" s="399" t="str">
        <f>PTAout!AF82</f>
        <v/>
      </c>
      <c r="P77" s="190"/>
      <c r="Q77" s="679" t="str">
        <f>IF(OR(code0="",code1="",years="",$G77="",$J74="",$J77="",K74="",K77=""),"",years*365*16*IF(OR($G76="",$G77="",K77="",K74="",$J77="",$J74=""),"",$G77*$G76*(K77*K74-$J77*$J74)))</f>
        <v/>
      </c>
      <c r="R77" s="679" t="str">
        <f>IF(OR(code0="",code2="",years="",$G77="",$J74="",$J77="",L74="",L77=""),"",years*365*16*IF(OR($G76="",$G77="",L77="",L74="",$J77="",$J74=""),"",$G77*$G76*(L77*L74-$J77*$J74)))</f>
        <v/>
      </c>
      <c r="S77" s="679" t="str">
        <f>IF(OR(code0="",code3="",years="",$G77="",$J74="",$J77="",M74="",M77=""),"",years*365*16*IF(OR($G76="",$G77="",M77="",M74="",$J77="",$J74=""),"",$G77*$G76*(M77*M74-$J77*$J74)))</f>
        <v/>
      </c>
      <c r="T77" s="679" t="str">
        <f>IF(OR(code0="",code4="",years="",$G77="",$J74="",$J77="",N74="",N77=""),"",years*365*16*IF(OR($G76="",$G77="",N77="",N74="",$J77="",$J74=""),"",$G77*$G76*(N77*N74-$J77*$J74)))</f>
        <v/>
      </c>
      <c r="U77" s="679" t="str">
        <f>IF(OR(code0="",code5="",years="",$G77="",$J74="",$J77="",O74="",O77=""),"",years*365*16*IF(OR($G76="",$G77="",O77="",O74="",$J77="",$J74=""),"",$G77*$G76*(O77*O74-$J77*$J74)))</f>
        <v/>
      </c>
      <c r="V77" s="31"/>
      <c r="W77" s="29"/>
      <c r="X77" s="29"/>
      <c r="Y77" s="29"/>
      <c r="Z77" s="29"/>
    </row>
    <row r="78" spans="2:26" ht="15" customHeight="1">
      <c r="B78" s="33"/>
      <c r="C78" s="29"/>
      <c r="D78" s="40" t="str">
        <f>PTAout!D83</f>
        <v>Reliability</v>
      </c>
      <c r="E78" s="47"/>
      <c r="F78" s="190" t="str">
        <f>PTAout!F83</f>
        <v/>
      </c>
      <c r="G78" s="676" t="str">
        <f>IF(CBAin!P49&lt;&gt;"",CBAin!P49,IF(AND($F78="Standard deviation of travel time",CBAin!M49&lt;&gt;""),CBAin!M49,""))</f>
        <v/>
      </c>
      <c r="H78" s="190" t="str">
        <f>IF(CBAin!O49&lt;&gt;"",CBAin!O49,IF(AND($F78="Standard deviation of travel time",CBAin!L49&lt;&gt;""),CBAin!L49,""))</f>
        <v/>
      </c>
      <c r="I78" s="190"/>
      <c r="J78" s="399" t="str">
        <f>PTAout!H83</f>
        <v/>
      </c>
      <c r="K78" s="399" t="str">
        <f>PTAout!L83</f>
        <v/>
      </c>
      <c r="L78" s="399" t="str">
        <f>PTAout!Q83</f>
        <v/>
      </c>
      <c r="M78" s="399" t="str">
        <f>PTAout!V83</f>
        <v/>
      </c>
      <c r="N78" s="399" t="str">
        <f>PTAout!AA83</f>
        <v/>
      </c>
      <c r="O78" s="399" t="str">
        <f>PTAout!AF83</f>
        <v/>
      </c>
      <c r="P78" s="190"/>
      <c r="Q78" s="193"/>
      <c r="R78" s="193"/>
      <c r="S78" s="193"/>
      <c r="T78" s="193"/>
      <c r="U78" s="634"/>
      <c r="V78" s="31"/>
      <c r="W78" s="29"/>
      <c r="X78" s="29"/>
      <c r="Y78" s="29"/>
      <c r="Z78" s="29"/>
    </row>
    <row r="79" spans="2:26" ht="15" customHeight="1">
      <c r="B79" s="33"/>
      <c r="C79" s="59"/>
      <c r="D79" s="402" t="str">
        <f>PTAout!D84</f>
        <v>Trip quality</v>
      </c>
      <c r="E79" s="85"/>
      <c r="F79" s="294" t="str">
        <f>PTAout!F84</f>
        <v/>
      </c>
      <c r="G79" s="681" t="str">
        <f>IF(CBAin!P33&lt;&gt;"",CBAin!P33,IF(AND($F79="time travelling in congested conditions (minutes)",CBAin!M33&lt;&gt;""),CBAin!M33,""))</f>
        <v/>
      </c>
      <c r="H79" s="294" t="str">
        <f>IF(CBAin!O33&lt;&gt;"",CBAin!O33,IF(AND($F79="time travelling in congested conditions (minutes)",CBAin!L33&lt;&gt;""),CBAin!L33,""))</f>
        <v/>
      </c>
      <c r="I79" s="190"/>
      <c r="J79" s="302" t="str">
        <f>PTAout!H84</f>
        <v/>
      </c>
      <c r="K79" s="302" t="str">
        <f>PTAout!L84</f>
        <v/>
      </c>
      <c r="L79" s="302" t="str">
        <f>PTAout!Q84</f>
        <v/>
      </c>
      <c r="M79" s="302" t="str">
        <f>PTAout!V84</f>
        <v/>
      </c>
      <c r="N79" s="302" t="str">
        <f>PTAout!AA84</f>
        <v/>
      </c>
      <c r="O79" s="302" t="str">
        <f>PTAout!AF84</f>
        <v/>
      </c>
      <c r="P79" s="190"/>
      <c r="Q79" s="682"/>
      <c r="R79" s="682"/>
      <c r="S79" s="682"/>
      <c r="T79" s="682"/>
      <c r="U79" s="683"/>
      <c r="V79" s="31"/>
      <c r="W79" s="29"/>
      <c r="X79" s="29"/>
      <c r="Y79" s="29"/>
      <c r="Z79" s="29"/>
    </row>
    <row r="80" spans="2:26" ht="15" customHeight="1">
      <c r="B80" s="33"/>
      <c r="C80" s="202" t="str">
        <f>PTAout!C85</f>
        <v>Motorcyclists</v>
      </c>
      <c r="D80" s="47"/>
      <c r="E80" s="47"/>
      <c r="F80" s="223"/>
      <c r="G80" s="652"/>
      <c r="H80" s="652"/>
      <c r="I80" s="652"/>
      <c r="J80" s="421"/>
      <c r="K80" s="421"/>
      <c r="L80" s="421"/>
      <c r="M80" s="421"/>
      <c r="N80" s="421"/>
      <c r="O80" s="421"/>
      <c r="P80" s="652"/>
      <c r="Q80" s="638"/>
      <c r="R80" s="638"/>
      <c r="S80" s="638"/>
      <c r="T80" s="638"/>
      <c r="U80" s="638"/>
      <c r="V80" s="31"/>
      <c r="W80" s="29"/>
      <c r="X80" s="29"/>
      <c r="Y80" s="29"/>
      <c r="Z80" s="29"/>
    </row>
    <row r="81" spans="2:26" ht="15" customHeight="1">
      <c r="B81" s="33"/>
      <c r="C81" s="29"/>
      <c r="D81" s="40" t="str">
        <f>PTAout!D86</f>
        <v>Space</v>
      </c>
      <c r="E81" s="47"/>
      <c r="F81" s="190" t="str">
        <f>PTAout!F86</f>
        <v>Width available</v>
      </c>
      <c r="G81" s="190"/>
      <c r="H81" s="190"/>
      <c r="I81" s="190"/>
      <c r="J81" s="404" t="str">
        <f>PTAout!H86</f>
        <v/>
      </c>
      <c r="K81" s="404" t="str">
        <f>PTAout!L86</f>
        <v/>
      </c>
      <c r="L81" s="404" t="str">
        <f>PTAout!Q86</f>
        <v/>
      </c>
      <c r="M81" s="404" t="str">
        <f>PTAout!V86</f>
        <v/>
      </c>
      <c r="N81" s="404" t="str">
        <f>PTAout!AA86</f>
        <v/>
      </c>
      <c r="O81" s="404" t="str">
        <f>PTAout!AF86</f>
        <v/>
      </c>
      <c r="P81" s="192"/>
      <c r="Q81" s="193"/>
      <c r="R81" s="193"/>
      <c r="S81" s="193"/>
      <c r="T81" s="193"/>
      <c r="U81" s="634"/>
      <c r="V81" s="31"/>
      <c r="W81" s="29"/>
      <c r="X81" s="29"/>
      <c r="Y81" s="29"/>
      <c r="Z81" s="29"/>
    </row>
    <row r="82" spans="2:26" ht="15" customHeight="1">
      <c r="B82" s="33"/>
      <c r="C82" s="29"/>
      <c r="D82" s="40" t="str">
        <f>PTAout!D87</f>
        <v>Volume</v>
      </c>
      <c r="E82" s="47"/>
      <c r="F82" s="190" t="str">
        <f>PTAout!F87</f>
        <v/>
      </c>
      <c r="G82" s="190"/>
      <c r="H82" s="190"/>
      <c r="I82" s="190"/>
      <c r="J82" s="404" t="str">
        <f>PTAout!H87</f>
        <v/>
      </c>
      <c r="K82" s="404" t="str">
        <f>PTAout!L87</f>
        <v/>
      </c>
      <c r="L82" s="404" t="str">
        <f>PTAout!Q87</f>
        <v/>
      </c>
      <c r="M82" s="404" t="str">
        <f>PTAout!V87</f>
        <v/>
      </c>
      <c r="N82" s="404" t="str">
        <f>PTAout!AA87</f>
        <v/>
      </c>
      <c r="O82" s="404" t="str">
        <f>PTAout!AF87</f>
        <v/>
      </c>
      <c r="P82" s="192"/>
      <c r="Q82" s="193"/>
      <c r="R82" s="193"/>
      <c r="S82" s="193"/>
      <c r="T82" s="193"/>
      <c r="U82" s="634"/>
      <c r="V82" s="31"/>
      <c r="W82" s="29"/>
      <c r="X82" s="29"/>
      <c r="Y82" s="29"/>
      <c r="Z82" s="29"/>
    </row>
    <row r="83" spans="2:26" ht="15" customHeight="1">
      <c r="B83" s="33"/>
      <c r="C83" s="29"/>
      <c r="D83" s="40" t="str">
        <f>PTAout!D88</f>
        <v>Speed</v>
      </c>
      <c r="E83" s="47"/>
      <c r="F83" s="190" t="str">
        <f>PTAout!F88</f>
        <v/>
      </c>
      <c r="G83" s="190"/>
      <c r="H83" s="190"/>
      <c r="I83" s="190"/>
      <c r="J83" s="404" t="str">
        <f>PTAout!H88</f>
        <v/>
      </c>
      <c r="K83" s="404" t="str">
        <f>PTAout!L88</f>
        <v/>
      </c>
      <c r="L83" s="404" t="str">
        <f>PTAout!Q88</f>
        <v/>
      </c>
      <c r="M83" s="404" t="str">
        <f>PTAout!V88</f>
        <v/>
      </c>
      <c r="N83" s="404" t="str">
        <f>PTAout!AA88</f>
        <v/>
      </c>
      <c r="O83" s="404" t="str">
        <f>PTAout!AF88</f>
        <v/>
      </c>
      <c r="P83" s="190"/>
      <c r="Q83" s="193"/>
      <c r="R83" s="193"/>
      <c r="S83" s="193"/>
      <c r="T83" s="193"/>
      <c r="U83" s="634"/>
      <c r="V83" s="31"/>
      <c r="W83" s="29"/>
      <c r="X83" s="29"/>
      <c r="Y83" s="29"/>
      <c r="Z83" s="29"/>
    </row>
    <row r="84" spans="2:26" ht="15" customHeight="1">
      <c r="B84" s="33"/>
      <c r="C84" s="29"/>
      <c r="D84" s="40" t="str">
        <f>PTAout!D89</f>
        <v>Travel time</v>
      </c>
      <c r="E84" s="47"/>
      <c r="F84" s="190" t="str">
        <f>PTAout!F89</f>
        <v/>
      </c>
      <c r="G84" s="676" t="str">
        <f>IF(CBAin!P26&lt;&gt;"",CBAin!P26,IF(CBAin!M26&lt;&gt;"",CBAin!M26,""))</f>
        <v/>
      </c>
      <c r="H84" s="190" t="str">
        <f>IF(CBAin!O26&lt;&gt;"",CBAin!O26,IF(CBAin!L26&lt;&gt;"",CBAin!L26,""))</f>
        <v/>
      </c>
      <c r="I84" s="190"/>
      <c r="J84" s="404" t="str">
        <f>PTAout!H89</f>
        <v/>
      </c>
      <c r="K84" s="404" t="str">
        <f>PTAout!L89</f>
        <v/>
      </c>
      <c r="L84" s="404" t="str">
        <f>PTAout!Q89</f>
        <v/>
      </c>
      <c r="M84" s="404" t="str">
        <f>PTAout!V89</f>
        <v/>
      </c>
      <c r="N84" s="404" t="str">
        <f>PTAout!AA89</f>
        <v/>
      </c>
      <c r="O84" s="404" t="str">
        <f>PTAout!AF89</f>
        <v/>
      </c>
      <c r="P84" s="190"/>
      <c r="Q84" s="679" t="str">
        <f>IF(OR(code0="",code1="",years="",$G84="",$J82="",$J84="",K82="",K84=""),"",years*365*16*IF(OR($G84="",K84="",K82="",$J84="",$J82=""),"",$G84*(K84*K82-$J84*$J82)))</f>
        <v/>
      </c>
      <c r="R84" s="679" t="str">
        <f>IF(OR(code0="",code2="",years="",$G84="",$J82="",$J84="",L82="",L84=""),"",years*365*16*IF(OR($G84="",L84="",L82="",$J84="",$J82=""),"",$G84*(L84*L82-$J84*$J82)))</f>
        <v/>
      </c>
      <c r="S84" s="679" t="str">
        <f>IF(OR(code0="",code3="",years="",$G84="",$J82="",$J84="",M82="",M84=""),"",years*365*16*IF(OR($G84="",M84="",M82="",$J84="",$J82=""),"",$G84*(M84*M82-$J84*$J82)))</f>
        <v/>
      </c>
      <c r="T84" s="679" t="str">
        <f>IF(OR(code0="",code4="",years="",$G84="",$J82="",$J84="",N82="",N84=""),"",years*365*16*IF(OR($G84="",N84="",N82="",$J84="",$J82=""),"",$G84*(N84*N82-$J84*$J82)))</f>
        <v/>
      </c>
      <c r="U84" s="679" t="str">
        <f>IF(OR(code0="",code5="",years="",$G84="",$J82="",$J84="",O82="",O84=""),"",years*365*16*IF(OR($G84="",O84="",O82="",$J84="",$J82=""),"",$G84*(O84*O82-$J84*$J82)))</f>
        <v/>
      </c>
      <c r="V84" s="31"/>
      <c r="W84" s="29"/>
      <c r="X84" s="29"/>
      <c r="Y84" s="29"/>
      <c r="Z84" s="29"/>
    </row>
    <row r="85" spans="2:26" ht="15" customHeight="1">
      <c r="B85" s="33"/>
      <c r="C85" s="29"/>
      <c r="D85" s="40" t="str">
        <f>PTAout!D90</f>
        <v>Delays</v>
      </c>
      <c r="E85" s="47"/>
      <c r="F85" s="190" t="str">
        <f>PTAout!F90</f>
        <v/>
      </c>
      <c r="G85" s="676" t="str">
        <f>IF(CBAin!P42&lt;&gt;"",CBAin!P42,IF(AND(LEFT($F85,13)="Average delay",CBAin!M42&lt;&gt;""),CBAin!M42,""))</f>
        <v/>
      </c>
      <c r="H85" s="190" t="str">
        <f>IF(CBAin!O42&lt;&gt;"",CBAin!O42,IF(AND(LEFT($F85,13)="Average delay",CBAin!L42&lt;&gt;""),CBAin!L42,""))</f>
        <v/>
      </c>
      <c r="I85" s="190"/>
      <c r="J85" s="399" t="str">
        <f>PTAout!H90</f>
        <v/>
      </c>
      <c r="K85" s="399" t="str">
        <f>PTAout!L90</f>
        <v/>
      </c>
      <c r="L85" s="399" t="str">
        <f>PTAout!Q90</f>
        <v/>
      </c>
      <c r="M85" s="399" t="str">
        <f>PTAout!V90</f>
        <v/>
      </c>
      <c r="N85" s="399" t="str">
        <f>PTAout!AA90</f>
        <v/>
      </c>
      <c r="O85" s="399" t="str">
        <f>PTAout!AF90</f>
        <v/>
      </c>
      <c r="P85" s="190"/>
      <c r="Q85" s="679" t="str">
        <f>IF(OR(code0="",code1="",years="",$G85="",$J82="",$J85="",K82="",K85=""),"",years*365*16*IF(OR($G84="",$G85="",K85="",K82="",$J85="",$J82=""),"",$G85*$G84*(K85*K82-$J85*$J82)))</f>
        <v/>
      </c>
      <c r="R85" s="679" t="str">
        <f>IF(OR(code0="",code2="",years="",$G85="",$J82="",$J85="",L82="",L85=""),"",years*365*16*IF(OR($G84="",$G85="",L85="",L82="",$J85="",$J82=""),"",$G85*$G84*(L85*L82-$J85*$J82)))</f>
        <v/>
      </c>
      <c r="S85" s="679" t="str">
        <f>IF(OR(code0="",code3="",years="",$G85="",$J82="",$J85="",M82="",M85=""),"",years*365*16*IF(OR($G84="",$G85="",M85="",M82="",$J85="",$J82=""),"",$G85*$G84*(M85*M82-$J85*$J82)))</f>
        <v/>
      </c>
      <c r="T85" s="679" t="str">
        <f>IF(OR(code0="",code4="",years="",$G85="",$J82="",$J85="",N82="",N85=""),"",years*365*16*IF(OR($G84="",$G85="",N85="",N82="",$J85="",$J82=""),"",$G85*$G84*(N85*N82-$J85*$J82)))</f>
        <v/>
      </c>
      <c r="U85" s="679" t="str">
        <f>IF(OR(code0="",code5="",years="",$G85="",$J82="",$J85="",O82="",O85=""),"",years*365*16*IF(OR($G84="",$G85="",O85="",O82="",$J85="",$J82=""),"",$G85*$G84*(O85*O82-$J85*$J82)))</f>
        <v/>
      </c>
      <c r="V85" s="31"/>
      <c r="W85" s="29"/>
      <c r="X85" s="29"/>
      <c r="Y85" s="29"/>
      <c r="Z85" s="29"/>
    </row>
    <row r="86" spans="2:26" ht="15" customHeight="1">
      <c r="B86" s="33"/>
      <c r="C86" s="29"/>
      <c r="D86" s="40" t="str">
        <f>PTAout!D91</f>
        <v>Reliability</v>
      </c>
      <c r="E86" s="47"/>
      <c r="F86" s="190" t="str">
        <f>PTAout!F91</f>
        <v/>
      </c>
      <c r="G86" s="676" t="str">
        <f>IF(CBAin!P50&lt;&gt;"",CBAin!P50,IF(AND($F86="Standard deviation of travel time",CBAin!M50&lt;&gt;""),CBAin!M50,""))</f>
        <v/>
      </c>
      <c r="H86" s="190" t="str">
        <f>IF(CBAin!O50&lt;&gt;"",CBAin!O50,IF(AND($F86="Standard deviation of travel time",CBAin!L50&lt;&gt;""),CBAin!L50,""))</f>
        <v/>
      </c>
      <c r="I86" s="190"/>
      <c r="J86" s="399" t="str">
        <f>PTAout!H91</f>
        <v/>
      </c>
      <c r="K86" s="399" t="str">
        <f>PTAout!L91</f>
        <v/>
      </c>
      <c r="L86" s="399" t="str">
        <f>PTAout!Q91</f>
        <v/>
      </c>
      <c r="M86" s="399" t="str">
        <f>PTAout!V91</f>
        <v/>
      </c>
      <c r="N86" s="399" t="str">
        <f>PTAout!AA91</f>
        <v/>
      </c>
      <c r="O86" s="399" t="str">
        <f>PTAout!AF91</f>
        <v/>
      </c>
      <c r="P86" s="190"/>
      <c r="Q86" s="193"/>
      <c r="R86" s="193"/>
      <c r="S86" s="193"/>
      <c r="T86" s="193"/>
      <c r="U86" s="634"/>
      <c r="V86" s="31"/>
      <c r="W86" s="29"/>
      <c r="X86" s="29"/>
      <c r="Y86" s="29"/>
      <c r="Z86" s="29"/>
    </row>
    <row r="87" spans="2:26" ht="15" customHeight="1">
      <c r="B87" s="33"/>
      <c r="C87" s="59"/>
      <c r="D87" s="402" t="str">
        <f>PTAout!D92</f>
        <v>Trip quality</v>
      </c>
      <c r="E87" s="85"/>
      <c r="F87" s="294" t="str">
        <f>PTAout!F92</f>
        <v/>
      </c>
      <c r="G87" s="681" t="str">
        <f>IF(CBAin!P34&lt;&gt;"",CBAin!P34,IF(AND($F87="time travelling in congested conditions (minutes)",CBAin!M34&lt;&gt;""),CBAin!M34,""))</f>
        <v/>
      </c>
      <c r="H87" s="294" t="str">
        <f>IF(CBAin!O34&lt;&gt;"",CBAin!O34,IF(AND($F87="time travelling in congested conditions (minutes)",CBAin!L34&lt;&gt;""),CBAin!L34,""))</f>
        <v/>
      </c>
      <c r="I87" s="190"/>
      <c r="J87" s="302" t="str">
        <f>PTAout!H92</f>
        <v/>
      </c>
      <c r="K87" s="302" t="str">
        <f>PTAout!L92</f>
        <v/>
      </c>
      <c r="L87" s="302" t="str">
        <f>PTAout!Q92</f>
        <v/>
      </c>
      <c r="M87" s="302" t="str">
        <f>PTAout!V92</f>
        <v/>
      </c>
      <c r="N87" s="302" t="str">
        <f>PTAout!AA92</f>
        <v/>
      </c>
      <c r="O87" s="302" t="str">
        <f>PTAout!AF92</f>
        <v/>
      </c>
      <c r="P87" s="190"/>
      <c r="Q87" s="682"/>
      <c r="R87" s="682"/>
      <c r="S87" s="682"/>
      <c r="T87" s="682"/>
      <c r="U87" s="683"/>
      <c r="V87" s="31"/>
      <c r="W87" s="29"/>
      <c r="X87" s="29"/>
      <c r="Y87" s="29"/>
      <c r="Z87" s="29"/>
    </row>
    <row r="88" spans="2:26" ht="15" customHeight="1">
      <c r="B88" s="33"/>
      <c r="C88" s="202" t="str">
        <f>PTAout!C93</f>
        <v>Goods vehicles</v>
      </c>
      <c r="D88" s="47"/>
      <c r="E88" s="47"/>
      <c r="F88" s="223"/>
      <c r="G88" s="652"/>
      <c r="H88" s="652"/>
      <c r="I88" s="652"/>
      <c r="J88" s="421"/>
      <c r="K88" s="421"/>
      <c r="L88" s="421"/>
      <c r="M88" s="421"/>
      <c r="N88" s="421"/>
      <c r="O88" s="421"/>
      <c r="P88" s="652"/>
      <c r="Q88" s="638"/>
      <c r="R88" s="638"/>
      <c r="S88" s="638"/>
      <c r="T88" s="638"/>
      <c r="U88" s="638"/>
      <c r="V88" s="31"/>
      <c r="W88" s="29"/>
      <c r="X88" s="29"/>
      <c r="Y88" s="29"/>
      <c r="Z88" s="29"/>
    </row>
    <row r="89" spans="2:26" ht="15" customHeight="1">
      <c r="B89" s="33"/>
      <c r="C89" s="29"/>
      <c r="D89" s="40" t="str">
        <f>PTAout!D94</f>
        <v>Space</v>
      </c>
      <c r="E89" s="47"/>
      <c r="F89" s="190" t="str">
        <f>PTAout!F94</f>
        <v>Width available</v>
      </c>
      <c r="G89" s="190"/>
      <c r="H89" s="190"/>
      <c r="I89" s="190"/>
      <c r="J89" s="404" t="str">
        <f>PTAout!H94</f>
        <v/>
      </c>
      <c r="K89" s="404" t="str">
        <f>PTAout!L94</f>
        <v/>
      </c>
      <c r="L89" s="404" t="str">
        <f>PTAout!Q94</f>
        <v/>
      </c>
      <c r="M89" s="404" t="str">
        <f>PTAout!V94</f>
        <v/>
      </c>
      <c r="N89" s="404" t="str">
        <f>PTAout!AA94</f>
        <v/>
      </c>
      <c r="O89" s="404" t="str">
        <f>PTAout!AF94</f>
        <v/>
      </c>
      <c r="P89" s="188"/>
      <c r="Q89" s="193"/>
      <c r="R89" s="193"/>
      <c r="S89" s="193"/>
      <c r="T89" s="193"/>
      <c r="U89" s="634"/>
      <c r="V89" s="31"/>
      <c r="W89" s="29"/>
      <c r="X89" s="29"/>
      <c r="Y89" s="29"/>
      <c r="Z89" s="29"/>
    </row>
    <row r="90" spans="2:26" ht="15" customHeight="1">
      <c r="B90" s="33"/>
      <c r="C90" s="29"/>
      <c r="D90" s="40" t="str">
        <f>PTAout!D95</f>
        <v>Volume</v>
      </c>
      <c r="E90" s="47"/>
      <c r="F90" s="190" t="str">
        <f>PTAout!F95</f>
        <v/>
      </c>
      <c r="G90" s="190"/>
      <c r="H90" s="190"/>
      <c r="I90" s="190"/>
      <c r="J90" s="404" t="str">
        <f>PTAout!H95</f>
        <v/>
      </c>
      <c r="K90" s="404" t="str">
        <f>PTAout!L95</f>
        <v/>
      </c>
      <c r="L90" s="404" t="str">
        <f>PTAout!Q95</f>
        <v/>
      </c>
      <c r="M90" s="404" t="str">
        <f>PTAout!V95</f>
        <v/>
      </c>
      <c r="N90" s="404" t="str">
        <f>PTAout!AA95</f>
        <v/>
      </c>
      <c r="O90" s="404" t="str">
        <f>PTAout!AF95</f>
        <v/>
      </c>
      <c r="P90" s="188"/>
      <c r="Q90" s="193"/>
      <c r="R90" s="193"/>
      <c r="S90" s="193"/>
      <c r="T90" s="193"/>
      <c r="U90" s="634"/>
      <c r="V90" s="31"/>
      <c r="W90" s="29"/>
      <c r="X90" s="29"/>
      <c r="Y90" s="29"/>
      <c r="Z90" s="29"/>
    </row>
    <row r="91" spans="2:26" ht="15" customHeight="1">
      <c r="B91" s="33"/>
      <c r="C91" s="29"/>
      <c r="D91" s="40" t="str">
        <f>PTAout!D96</f>
        <v>Speed</v>
      </c>
      <c r="E91" s="47"/>
      <c r="F91" s="190" t="str">
        <f>PTAout!F96</f>
        <v/>
      </c>
      <c r="G91" s="190"/>
      <c r="H91" s="190"/>
      <c r="I91" s="190"/>
      <c r="J91" s="404" t="str">
        <f>PTAout!H96</f>
        <v/>
      </c>
      <c r="K91" s="404" t="str">
        <f>PTAout!L96</f>
        <v/>
      </c>
      <c r="L91" s="404" t="str">
        <f>PTAout!Q96</f>
        <v/>
      </c>
      <c r="M91" s="404" t="str">
        <f>PTAout!V96</f>
        <v/>
      </c>
      <c r="N91" s="404" t="str">
        <f>PTAout!AA96</f>
        <v/>
      </c>
      <c r="O91" s="404" t="str">
        <f>PTAout!AF96</f>
        <v/>
      </c>
      <c r="P91" s="190"/>
      <c r="Q91" s="193"/>
      <c r="R91" s="193"/>
      <c r="S91" s="193"/>
      <c r="T91" s="193"/>
      <c r="U91" s="634"/>
      <c r="V91" s="31"/>
      <c r="W91" s="29"/>
      <c r="X91" s="29"/>
      <c r="Y91" s="29"/>
      <c r="Z91" s="29"/>
    </row>
    <row r="92" spans="2:26" ht="15" customHeight="1">
      <c r="B92" s="33"/>
      <c r="C92" s="29"/>
      <c r="D92" s="40" t="str">
        <f>PTAout!D97</f>
        <v>Travel time</v>
      </c>
      <c r="E92" s="47"/>
      <c r="F92" s="190" t="str">
        <f>PTAout!F97</f>
        <v/>
      </c>
      <c r="G92" s="676" t="str">
        <f>IF(CBAin!P27&lt;&gt;"",CBAin!P27,IF(CBAin!M27&lt;&gt;"",CBAin!M27,""))</f>
        <v/>
      </c>
      <c r="H92" s="190" t="str">
        <f>IF(CBAin!O27&lt;&gt;"",CBAin!O27,IF(CBAin!L27&lt;&gt;"",CBAin!L27,""))</f>
        <v/>
      </c>
      <c r="I92" s="190"/>
      <c r="J92" s="404" t="str">
        <f>PTAout!H97</f>
        <v/>
      </c>
      <c r="K92" s="404" t="str">
        <f>PTAout!L97</f>
        <v/>
      </c>
      <c r="L92" s="404" t="str">
        <f>PTAout!Q97</f>
        <v/>
      </c>
      <c r="M92" s="404" t="str">
        <f>PTAout!V97</f>
        <v/>
      </c>
      <c r="N92" s="404" t="str">
        <f>PTAout!AA97</f>
        <v/>
      </c>
      <c r="O92" s="404" t="str">
        <f>PTAout!AF97</f>
        <v/>
      </c>
      <c r="P92" s="190"/>
      <c r="Q92" s="679" t="str">
        <f>IF(OR(code0="",code1="",years="",$G92="",$J90="",$J92="",K90="",K92=""),"",years*365*16*IF(OR($G92="",K92="",K90="",$J92="",$J90=""),"",$G92*(K92*K90-$J92*$J90)))</f>
        <v/>
      </c>
      <c r="R92" s="679" t="str">
        <f>IF(OR(code0="",code2="",years="",$G92="",$J90="",$J92="",L90="",L92=""),"",years*365*16*IF(OR($G92="",L92="",L90="",$J92="",$J90=""),"",$G92*(L92*L90-$J92*$J90)))</f>
        <v/>
      </c>
      <c r="S92" s="679" t="str">
        <f>IF(OR(code0="",code3="",years="",$G92="",$J90="",$J92="",M90="",M92=""),"",years*365*16*IF(OR($G92="",M92="",M90="",$J92="",$J90=""),"",$G92*(M92*M90-$J92*$J90)))</f>
        <v/>
      </c>
      <c r="T92" s="679" t="str">
        <f>IF(OR(code0="",code4="",years="",$G92="",$J90="",$J92="",N90="",N92=""),"",years*365*16*IF(OR($G92="",N92="",N90="",$J92="",$J90=""),"",$G92*(N92*N90-$J92*$J90)))</f>
        <v/>
      </c>
      <c r="U92" s="679" t="str">
        <f>IF(OR(code0="",code5="",years="",$G92="",$J90="",$J92="",O90="",O92=""),"",years*365*16*IF(OR($G92="",O92="",O90="",$J92="",$J90=""),"",$G92*(O92*O90-$J92*$J90)))</f>
        <v/>
      </c>
      <c r="V92" s="31"/>
      <c r="W92" s="29"/>
      <c r="X92" s="29"/>
      <c r="Y92" s="29"/>
      <c r="Z92" s="29"/>
    </row>
    <row r="93" spans="2:26" ht="15" customHeight="1">
      <c r="B93" s="33"/>
      <c r="C93" s="29"/>
      <c r="D93" s="40" t="str">
        <f>PTAout!D98</f>
        <v>Delays</v>
      </c>
      <c r="E93" s="47"/>
      <c r="F93" s="190" t="str">
        <f>PTAout!F98</f>
        <v/>
      </c>
      <c r="G93" s="676" t="str">
        <f>IF(CBAin!P43&lt;&gt;"",CBAin!P43,IF(AND(LEFT($F93,13)="Average delay",CBAin!M43&lt;&gt;""),CBAin!M43,""))</f>
        <v/>
      </c>
      <c r="H93" s="190" t="str">
        <f>IF(CBAin!O43&lt;&gt;"",CBAin!O43,IF(AND(LEFT($F93,13)="Average delay",CBAin!L43&lt;&gt;""),CBAin!L43,""))</f>
        <v/>
      </c>
      <c r="I93" s="190"/>
      <c r="J93" s="399" t="str">
        <f>PTAout!H98</f>
        <v/>
      </c>
      <c r="K93" s="399" t="str">
        <f>PTAout!L98</f>
        <v/>
      </c>
      <c r="L93" s="399" t="str">
        <f>PTAout!Q98</f>
        <v/>
      </c>
      <c r="M93" s="399" t="str">
        <f>PTAout!V98</f>
        <v/>
      </c>
      <c r="N93" s="399" t="str">
        <f>PTAout!AA98</f>
        <v/>
      </c>
      <c r="O93" s="399" t="str">
        <f>PTAout!AF98</f>
        <v/>
      </c>
      <c r="P93" s="190"/>
      <c r="Q93" s="679" t="str">
        <f>IF(OR(code0="",code1="",years="",$G93="",$J90="",$J93="",K90="",K93=""),"",years*365*16*IF(OR($G92="",$G93="",K93="",K90="",$J93="",$J90=""),"",$G93*$G92*(K93*K90-$J93*$J90)))</f>
        <v/>
      </c>
      <c r="R93" s="679" t="str">
        <f>IF(OR(code0="",code2="",years="",$G93="",$J90="",$J93="",L90="",L93=""),"",years*365*16*IF(OR($G92="",$G93="",L93="",L90="",$J93="",$J90=""),"",$G93*$G92*(L93*L90-$J93*$J90)))</f>
        <v/>
      </c>
      <c r="S93" s="679" t="str">
        <f>IF(OR(code0="",code3="",years="",$G93="",$J90="",$J93="",M90="",M93=""),"",years*365*16*IF(OR($G92="",$G93="",M93="",M90="",$J93="",$J90=""),"",$G93*$G92*(M93*M90-$J93*$J90)))</f>
        <v/>
      </c>
      <c r="T93" s="679" t="str">
        <f>IF(OR(code0="",code4="",years="",$G93="",$J90="",$J93="",N90="",N93=""),"",years*365*16*IF(OR($G92="",$G93="",N93="",N90="",$J93="",$J90=""),"",$G93*$G92*(N93*N90-$J93*$J90)))</f>
        <v/>
      </c>
      <c r="U93" s="679" t="str">
        <f>IF(OR(code0="",code5="",years="",$G93="",$J90="",$J93="",O90="",O93=""),"",years*365*16*IF(OR($G92="",$G93="",O93="",O90="",$J93="",$J90=""),"",$G93*$G92*(O93*O90-$J93*$J90)))</f>
        <v/>
      </c>
      <c r="V93" s="31"/>
      <c r="W93" s="29"/>
      <c r="X93" s="29"/>
      <c r="Y93" s="29"/>
      <c r="Z93" s="29"/>
    </row>
    <row r="94" spans="2:26" ht="15" customHeight="1">
      <c r="B94" s="33"/>
      <c r="C94" s="29"/>
      <c r="D94" s="40" t="str">
        <f>PTAout!D99</f>
        <v>Reliability</v>
      </c>
      <c r="E94" s="47"/>
      <c r="F94" s="190" t="str">
        <f>PTAout!F99</f>
        <v/>
      </c>
      <c r="G94" s="676" t="str">
        <f>IF(CBAin!P51&lt;&gt;"",CBAin!P51,IF(AND($F94="Standard deviation of travel time",CBAin!M51&lt;&gt;""),CBAin!M51,""))</f>
        <v/>
      </c>
      <c r="H94" s="190" t="str">
        <f>IF(CBAin!O51&lt;&gt;"",CBAin!O51,IF(AND($F94="Standard deviation of travel time",CBAin!L51&lt;&gt;""),CBAin!L51,""))</f>
        <v/>
      </c>
      <c r="I94" s="190"/>
      <c r="J94" s="399" t="str">
        <f>PTAout!H99</f>
        <v/>
      </c>
      <c r="K94" s="399" t="str">
        <f>PTAout!L99</f>
        <v/>
      </c>
      <c r="L94" s="399" t="str">
        <f>PTAout!Q99</f>
        <v/>
      </c>
      <c r="M94" s="399" t="str">
        <f>PTAout!V99</f>
        <v/>
      </c>
      <c r="N94" s="399" t="str">
        <f>PTAout!AA99</f>
        <v/>
      </c>
      <c r="O94" s="399" t="str">
        <f>PTAout!AF99</f>
        <v/>
      </c>
      <c r="P94" s="190"/>
      <c r="Q94" s="193"/>
      <c r="R94" s="193"/>
      <c r="S94" s="193"/>
      <c r="T94" s="193"/>
      <c r="U94" s="634"/>
      <c r="V94" s="31"/>
      <c r="W94" s="29"/>
      <c r="X94" s="29"/>
      <c r="Y94" s="29"/>
      <c r="Z94" s="29"/>
    </row>
    <row r="95" spans="2:26" ht="15" customHeight="1">
      <c r="B95" s="33"/>
      <c r="C95" s="59"/>
      <c r="D95" s="402" t="str">
        <f>PTAout!D100</f>
        <v>Trip quality</v>
      </c>
      <c r="E95" s="85"/>
      <c r="F95" s="294" t="str">
        <f>PTAout!F100</f>
        <v/>
      </c>
      <c r="G95" s="681" t="str">
        <f>IF(CBAin!P35&lt;&gt;"",CBAin!P35,IF(AND($F95="time travelling in congested conditions (minutes)",CBAin!M35&lt;&gt;""),CBAin!M35,""))</f>
        <v/>
      </c>
      <c r="H95" s="294" t="str">
        <f>IF(CBAin!O35&lt;&gt;"",CBAin!O35,IF(AND($F95="time travelling in congested conditions (minutes)",CBAin!L35&lt;&gt;""),CBAin!L35,""))</f>
        <v/>
      </c>
      <c r="I95" s="190"/>
      <c r="J95" s="302" t="str">
        <f>PTAout!H100</f>
        <v/>
      </c>
      <c r="K95" s="302" t="str">
        <f>PTAout!L100</f>
        <v/>
      </c>
      <c r="L95" s="302" t="str">
        <f>PTAout!Q100</f>
        <v/>
      </c>
      <c r="M95" s="302" t="str">
        <f>PTAout!V100</f>
        <v/>
      </c>
      <c r="N95" s="302" t="str">
        <f>PTAout!AA100</f>
        <v/>
      </c>
      <c r="O95" s="302" t="str">
        <f>PTAout!AF100</f>
        <v/>
      </c>
      <c r="P95" s="190"/>
      <c r="Q95" s="682"/>
      <c r="R95" s="682"/>
      <c r="S95" s="682"/>
      <c r="T95" s="682"/>
      <c r="U95" s="683"/>
      <c r="V95" s="31"/>
      <c r="W95" s="29"/>
      <c r="X95" s="29"/>
      <c r="Y95" s="29"/>
      <c r="Z95" s="29"/>
    </row>
    <row r="96" spans="2:26" ht="15" customHeight="1">
      <c r="B96" s="33"/>
      <c r="D96" s="47"/>
      <c r="E96" s="47"/>
      <c r="F96" s="223"/>
      <c r="G96" s="652"/>
      <c r="H96" s="652"/>
      <c r="I96" s="652"/>
      <c r="J96" s="421"/>
      <c r="K96" s="421"/>
      <c r="L96" s="421"/>
      <c r="M96" s="421"/>
      <c r="N96" s="421"/>
      <c r="O96" s="421"/>
      <c r="P96" s="400"/>
      <c r="Q96" s="638"/>
      <c r="R96" s="638"/>
      <c r="S96" s="638"/>
      <c r="T96" s="638"/>
      <c r="U96" s="638"/>
      <c r="V96" s="31"/>
      <c r="W96" s="29"/>
      <c r="X96" s="29"/>
      <c r="Y96" s="29"/>
      <c r="Z96" s="29"/>
    </row>
    <row r="97" spans="2:26" ht="15" customHeight="1">
      <c r="B97" s="33"/>
      <c r="C97" s="201" t="s">
        <v>108</v>
      </c>
      <c r="D97" s="85"/>
      <c r="E97" s="85"/>
      <c r="F97" s="224"/>
      <c r="G97" s="653"/>
      <c r="H97" s="653"/>
      <c r="I97" s="652"/>
      <c r="J97" s="422"/>
      <c r="K97" s="422"/>
      <c r="L97" s="422"/>
      <c r="M97" s="422"/>
      <c r="N97" s="422"/>
      <c r="O97" s="422"/>
      <c r="P97" s="401"/>
      <c r="Q97" s="639"/>
      <c r="R97" s="639"/>
      <c r="S97" s="639"/>
      <c r="T97" s="639"/>
      <c r="U97" s="639"/>
      <c r="V97" s="31"/>
      <c r="W97" s="29"/>
      <c r="X97" s="29"/>
      <c r="Y97" s="29"/>
      <c r="Z97" s="29"/>
    </row>
    <row r="98" spans="2:26" ht="15" customHeight="1">
      <c r="B98" s="33"/>
      <c r="C98" s="62" t="str">
        <f>PTAout!C103</f>
        <v>Cycle parking</v>
      </c>
      <c r="D98" s="47"/>
      <c r="E98" s="47"/>
      <c r="F98" s="223"/>
      <c r="G98" s="652"/>
      <c r="H98" s="652"/>
      <c r="I98" s="652"/>
      <c r="J98" s="421"/>
      <c r="K98" s="421"/>
      <c r="L98" s="421"/>
      <c r="M98" s="421"/>
      <c r="N98" s="421"/>
      <c r="O98" s="421"/>
      <c r="P98" s="400"/>
      <c r="Q98" s="638"/>
      <c r="R98" s="638"/>
      <c r="S98" s="638"/>
      <c r="T98" s="638"/>
      <c r="U98" s="638"/>
      <c r="V98" s="31"/>
      <c r="W98" s="29"/>
      <c r="X98" s="29"/>
      <c r="Y98" s="29"/>
      <c r="Z98" s="29"/>
    </row>
    <row r="99" spans="2:26" ht="15" customHeight="1">
      <c r="B99" s="33"/>
      <c r="D99" s="187" t="str">
        <f>PTAout!D104</f>
        <v>Space</v>
      </c>
      <c r="E99" s="47"/>
      <c r="F99" s="190" t="str">
        <f>PTAout!F104</f>
        <v>Number of spaces</v>
      </c>
      <c r="G99" s="190"/>
      <c r="H99" s="190"/>
      <c r="I99" s="190"/>
      <c r="J99" s="404" t="str">
        <f>PTAout!H104</f>
        <v/>
      </c>
      <c r="K99" s="404" t="str">
        <f>PTAout!L104</f>
        <v/>
      </c>
      <c r="L99" s="404" t="str">
        <f>PTAout!Q104</f>
        <v/>
      </c>
      <c r="M99" s="404" t="str">
        <f>PTAout!V104</f>
        <v/>
      </c>
      <c r="N99" s="404" t="str">
        <f>PTAout!AA104</f>
        <v/>
      </c>
      <c r="O99" s="404" t="str">
        <f>PTAout!AF104</f>
        <v/>
      </c>
      <c r="P99" s="45"/>
      <c r="Q99" s="193"/>
      <c r="R99" s="193"/>
      <c r="S99" s="193"/>
      <c r="T99" s="193"/>
      <c r="U99" s="634"/>
      <c r="V99" s="31"/>
      <c r="W99" s="29"/>
      <c r="X99" s="29"/>
      <c r="Y99" s="29"/>
      <c r="Z99" s="29"/>
    </row>
    <row r="100" spans="2:26" ht="15" customHeight="1">
      <c r="B100" s="33"/>
      <c r="D100" s="47" t="str">
        <f>PTAout!D105</f>
        <v>Number of activities</v>
      </c>
      <c r="E100" s="47"/>
      <c r="F100" s="190" t="str">
        <f>PTAout!F105</f>
        <v/>
      </c>
      <c r="G100" s="190"/>
      <c r="H100" s="190"/>
      <c r="I100" s="190"/>
      <c r="J100" s="269" t="str">
        <f>PTAout!H105</f>
        <v/>
      </c>
      <c r="K100" s="269" t="str">
        <f>PTAout!L105</f>
        <v/>
      </c>
      <c r="L100" s="269" t="str">
        <f>PTAout!Q105</f>
        <v/>
      </c>
      <c r="M100" s="269" t="str">
        <f>PTAout!V105</f>
        <v/>
      </c>
      <c r="N100" s="269" t="str">
        <f>PTAout!AA105</f>
        <v/>
      </c>
      <c r="O100" s="269" t="str">
        <f>PTAout!AF105</f>
        <v/>
      </c>
      <c r="P100" s="193"/>
      <c r="Q100" s="193"/>
      <c r="R100" s="193"/>
      <c r="S100" s="193"/>
      <c r="T100" s="193"/>
      <c r="U100" s="634"/>
      <c r="V100" s="31"/>
      <c r="W100" s="29"/>
      <c r="X100" s="29"/>
      <c r="Y100" s="29"/>
      <c r="Z100" s="29"/>
    </row>
    <row r="101" spans="2:26" ht="15" customHeight="1">
      <c r="B101" s="33"/>
      <c r="D101" s="47" t="str">
        <f>PTAout!D106</f>
        <v>Duration</v>
      </c>
      <c r="E101" s="47"/>
      <c r="F101" s="190" t="str">
        <f>PTAout!F106</f>
        <v/>
      </c>
      <c r="G101" s="676" t="str">
        <f>IF(CBAin!P60&lt;&gt;"",CBAin!P60,IF(CBAin!M60&lt;&gt;"",CBAin!M60,""))</f>
        <v/>
      </c>
      <c r="H101" s="190" t="str">
        <f>IF(CBAin!O60&lt;&gt;"",CBAin!O60,IF(CBAin!L60&lt;&gt;"",CBAin!L60,""))</f>
        <v/>
      </c>
      <c r="I101" s="190"/>
      <c r="J101" s="399" t="str">
        <f>PTAout!H106</f>
        <v/>
      </c>
      <c r="K101" s="269" t="str">
        <f>PTAout!L106</f>
        <v/>
      </c>
      <c r="L101" s="269" t="str">
        <f>PTAout!Q106</f>
        <v/>
      </c>
      <c r="M101" s="269" t="str">
        <f>PTAout!V106</f>
        <v/>
      </c>
      <c r="N101" s="269" t="str">
        <f>PTAout!AA106</f>
        <v/>
      </c>
      <c r="O101" s="269" t="str">
        <f>PTAout!AF106</f>
        <v/>
      </c>
      <c r="P101" s="45"/>
      <c r="Q101" s="679" t="str">
        <f>IF(OR(years="",$G101="",K101="",K100="",$J101="",$J100=""),"",years*365*16*$G101*(K101*K100-$J101*$J100))</f>
        <v/>
      </c>
      <c r="R101" s="679" t="str">
        <f>IF(OR(years="",$G101="",L101="",L100="",$J101="",$J100=""),"",years*365*16*$G101*(L101*L100-$J101*$J100))</f>
        <v/>
      </c>
      <c r="S101" s="679" t="str">
        <f>IF(OR(years="",$G101="",M101="",M100="",$J101="",$J100=""),"",years*365*16*$G101*(M101*M100-$J101*$J100))</f>
        <v/>
      </c>
      <c r="T101" s="679" t="str">
        <f>IF(OR(years="",$G101="",N101="",N100="",$J101="",$J100=""),"",years*365*16*$G101*(N101*N100-$J101*$J100))</f>
        <v/>
      </c>
      <c r="U101" s="679" t="str">
        <f>IF(OR(years="",$G101="",O101="",O100="",$J101="",$J100=""),"",years*365*16*$G101*(O101*O100-$J101*$J100))</f>
        <v/>
      </c>
      <c r="V101" s="31"/>
      <c r="W101" s="29"/>
      <c r="X101" s="29"/>
      <c r="Y101" s="29"/>
      <c r="Z101" s="29"/>
    </row>
    <row r="102" spans="2:26" ht="15" customHeight="1">
      <c r="B102" s="33"/>
      <c r="C102" s="59"/>
      <c r="D102" s="85" t="str">
        <f>PTAout!D107</f>
        <v>Quality</v>
      </c>
      <c r="E102" s="85"/>
      <c r="F102" s="294" t="str">
        <f>PTAout!F107</f>
        <v/>
      </c>
      <c r="G102" s="294"/>
      <c r="H102" s="294"/>
      <c r="I102" s="190"/>
      <c r="J102" s="302" t="str">
        <f>PTAout!H107</f>
        <v/>
      </c>
      <c r="K102" s="303" t="str">
        <f>PTAout!L107</f>
        <v/>
      </c>
      <c r="L102" s="303" t="str">
        <f>PTAout!Q107</f>
        <v/>
      </c>
      <c r="M102" s="303" t="str">
        <f>PTAout!V107</f>
        <v/>
      </c>
      <c r="N102" s="303" t="str">
        <f>PTAout!AA107</f>
        <v/>
      </c>
      <c r="O102" s="303" t="str">
        <f>PTAout!AF107</f>
        <v/>
      </c>
      <c r="P102" s="91"/>
      <c r="Q102" s="635"/>
      <c r="R102" s="635"/>
      <c r="S102" s="635"/>
      <c r="T102" s="635"/>
      <c r="U102" s="636"/>
      <c r="V102" s="31"/>
      <c r="W102" s="29"/>
      <c r="X102" s="29"/>
      <c r="Y102" s="29"/>
      <c r="Z102" s="29"/>
    </row>
    <row r="103" spans="2:26" ht="15" customHeight="1">
      <c r="B103" s="33"/>
      <c r="C103" s="62" t="str">
        <f>PTAout!C108</f>
        <v>Cycle parking (dock)</v>
      </c>
      <c r="D103" s="47"/>
      <c r="E103" s="47"/>
      <c r="F103" s="223"/>
      <c r="G103" s="652"/>
      <c r="H103" s="652"/>
      <c r="I103" s="652"/>
      <c r="J103" s="421"/>
      <c r="K103" s="421"/>
      <c r="L103" s="421"/>
      <c r="M103" s="421"/>
      <c r="N103" s="421"/>
      <c r="O103" s="421"/>
      <c r="P103" s="400"/>
      <c r="Q103" s="638"/>
      <c r="R103" s="638"/>
      <c r="S103" s="638"/>
      <c r="T103" s="638"/>
      <c r="U103" s="638"/>
      <c r="V103" s="31"/>
      <c r="W103" s="29"/>
      <c r="X103" s="29"/>
      <c r="Y103" s="29"/>
      <c r="Z103" s="29"/>
    </row>
    <row r="104" spans="2:26" ht="15" customHeight="1">
      <c r="B104" s="33"/>
      <c r="D104" s="187" t="str">
        <f>PTAout!D109</f>
        <v>Space</v>
      </c>
      <c r="E104" s="47"/>
      <c r="F104" s="190" t="str">
        <f>PTAout!F109</f>
        <v>Number of spaces</v>
      </c>
      <c r="G104" s="190"/>
      <c r="H104" s="190"/>
      <c r="I104" s="190"/>
      <c r="J104" s="270" t="str">
        <f>PTAout!H109</f>
        <v/>
      </c>
      <c r="K104" s="270" t="str">
        <f>PTAout!L109</f>
        <v/>
      </c>
      <c r="L104" s="270" t="str">
        <f>PTAout!Q109</f>
        <v/>
      </c>
      <c r="M104" s="270" t="str">
        <f>PTAout!V109</f>
        <v/>
      </c>
      <c r="N104" s="270" t="str">
        <f>PTAout!AA109</f>
        <v/>
      </c>
      <c r="O104" s="270" t="str">
        <f>PTAout!AF109</f>
        <v/>
      </c>
      <c r="P104" s="198"/>
      <c r="Q104" s="193"/>
      <c r="R104" s="193"/>
      <c r="S104" s="193"/>
      <c r="T104" s="193"/>
      <c r="U104" s="634"/>
      <c r="V104" s="31"/>
      <c r="W104" s="29"/>
      <c r="X104" s="29"/>
      <c r="Y104" s="29"/>
      <c r="Z104" s="29"/>
    </row>
    <row r="105" spans="2:26" ht="15" customHeight="1">
      <c r="B105" s="33"/>
      <c r="D105" s="47" t="str">
        <f>PTAout!D110</f>
        <v>Number of activities</v>
      </c>
      <c r="E105" s="47"/>
      <c r="F105" s="190" t="str">
        <f>PTAout!F110</f>
        <v/>
      </c>
      <c r="G105" s="190"/>
      <c r="H105" s="190"/>
      <c r="I105" s="190"/>
      <c r="J105" s="270" t="str">
        <f>PTAout!H110</f>
        <v/>
      </c>
      <c r="K105" s="270" t="str">
        <f>PTAout!L110</f>
        <v/>
      </c>
      <c r="L105" s="270" t="str">
        <f>PTAout!Q110</f>
        <v/>
      </c>
      <c r="M105" s="270" t="str">
        <f>PTAout!V110</f>
        <v/>
      </c>
      <c r="N105" s="270" t="str">
        <f>PTAout!AA110</f>
        <v/>
      </c>
      <c r="O105" s="270" t="str">
        <f>PTAout!AF110</f>
        <v/>
      </c>
      <c r="P105" s="199"/>
      <c r="Q105" s="640"/>
      <c r="R105" s="640"/>
      <c r="S105" s="640"/>
      <c r="T105" s="640"/>
      <c r="U105" s="641"/>
      <c r="V105" s="31"/>
      <c r="W105" s="29"/>
      <c r="X105" s="29"/>
      <c r="Y105" s="29"/>
      <c r="Z105" s="29"/>
    </row>
    <row r="106" spans="2:26" ht="15" customHeight="1">
      <c r="B106" s="33"/>
      <c r="D106" s="47" t="str">
        <f>PTAout!D111</f>
        <v>Duration</v>
      </c>
      <c r="E106" s="47"/>
      <c r="F106" s="190" t="str">
        <f>PTAout!F111</f>
        <v/>
      </c>
      <c r="G106" s="190"/>
      <c r="H106" s="190"/>
      <c r="I106" s="190"/>
      <c r="J106" s="270" t="str">
        <f>PTAout!H111</f>
        <v/>
      </c>
      <c r="K106" s="270" t="str">
        <f>PTAout!L111</f>
        <v/>
      </c>
      <c r="L106" s="270" t="str">
        <f>PTAout!Q111</f>
        <v/>
      </c>
      <c r="M106" s="270" t="str">
        <f>PTAout!V111</f>
        <v/>
      </c>
      <c r="N106" s="270" t="str">
        <f>PTAout!AA111</f>
        <v/>
      </c>
      <c r="O106" s="270" t="str">
        <f>PTAout!AF111</f>
        <v/>
      </c>
      <c r="P106" s="199"/>
      <c r="Q106" s="640"/>
      <c r="R106" s="640"/>
      <c r="S106" s="640"/>
      <c r="T106" s="640"/>
      <c r="U106" s="641"/>
      <c r="V106" s="31"/>
      <c r="W106" s="29"/>
      <c r="X106" s="29"/>
      <c r="Y106" s="29"/>
      <c r="Z106" s="29"/>
    </row>
    <row r="107" spans="2:26" ht="15" customHeight="1">
      <c r="B107" s="33"/>
      <c r="C107" s="59"/>
      <c r="D107" s="85" t="str">
        <f>PTAout!D112</f>
        <v>Quality</v>
      </c>
      <c r="E107" s="85"/>
      <c r="F107" s="294" t="str">
        <f>PTAout!F112</f>
        <v/>
      </c>
      <c r="G107" s="294"/>
      <c r="H107" s="294"/>
      <c r="I107" s="190"/>
      <c r="J107" s="295" t="str">
        <f>PTAout!H112</f>
        <v/>
      </c>
      <c r="K107" s="295" t="str">
        <f>PTAout!L112</f>
        <v/>
      </c>
      <c r="L107" s="295" t="str">
        <f>PTAout!Q112</f>
        <v/>
      </c>
      <c r="M107" s="295" t="str">
        <f>PTAout!V112</f>
        <v/>
      </c>
      <c r="N107" s="295" t="str">
        <f>PTAout!AA112</f>
        <v/>
      </c>
      <c r="O107" s="295" t="str">
        <f>PTAout!AF112</f>
        <v/>
      </c>
      <c r="P107" s="301"/>
      <c r="Q107" s="642"/>
      <c r="R107" s="642"/>
      <c r="S107" s="642"/>
      <c r="T107" s="642"/>
      <c r="U107" s="643"/>
      <c r="V107" s="31"/>
      <c r="W107" s="29"/>
      <c r="X107" s="29"/>
      <c r="Y107" s="29"/>
      <c r="Z107" s="29"/>
    </row>
    <row r="108" spans="2:26" ht="15" customHeight="1">
      <c r="B108" s="33"/>
      <c r="C108" s="62" t="str">
        <f>PTAout!C113</f>
        <v>Cycle parking (dockless)</v>
      </c>
      <c r="D108" s="47"/>
      <c r="E108" s="47"/>
      <c r="F108" s="223"/>
      <c r="G108" s="652"/>
      <c r="H108" s="652"/>
      <c r="I108" s="652"/>
      <c r="J108" s="423"/>
      <c r="K108" s="423"/>
      <c r="L108" s="423"/>
      <c r="M108" s="423"/>
      <c r="N108" s="423"/>
      <c r="O108" s="423"/>
      <c r="P108" s="76"/>
      <c r="Q108" s="644"/>
      <c r="R108" s="644"/>
      <c r="S108" s="644"/>
      <c r="T108" s="644"/>
      <c r="U108" s="644"/>
      <c r="V108" s="31"/>
      <c r="W108" s="29"/>
      <c r="X108" s="29"/>
      <c r="Y108" s="29"/>
      <c r="Z108" s="29"/>
    </row>
    <row r="109" spans="2:26" ht="15" customHeight="1">
      <c r="B109" s="33"/>
      <c r="D109" s="187" t="str">
        <f>PTAout!D114</f>
        <v>Space</v>
      </c>
      <c r="E109" s="47"/>
      <c r="F109" s="190"/>
      <c r="G109" s="190"/>
      <c r="H109" s="190"/>
      <c r="I109" s="190"/>
      <c r="J109" s="270" t="str">
        <f>PTAout!H114</f>
        <v/>
      </c>
      <c r="K109" s="270" t="str">
        <f>PTAout!L114</f>
        <v/>
      </c>
      <c r="L109" s="270" t="str">
        <f>PTAout!Q114</f>
        <v/>
      </c>
      <c r="M109" s="270" t="str">
        <f>PTAout!V114</f>
        <v/>
      </c>
      <c r="N109" s="270" t="str">
        <f>PTAout!AA114</f>
        <v/>
      </c>
      <c r="O109" s="270" t="str">
        <f>PTAout!AF114</f>
        <v/>
      </c>
      <c r="P109" s="198"/>
      <c r="Q109" s="193"/>
      <c r="R109" s="193"/>
      <c r="S109" s="193"/>
      <c r="T109" s="193"/>
      <c r="U109" s="634"/>
      <c r="V109" s="31"/>
      <c r="W109" s="29"/>
      <c r="X109" s="29"/>
      <c r="Y109" s="29"/>
      <c r="Z109" s="29"/>
    </row>
    <row r="110" spans="2:26" ht="15" customHeight="1">
      <c r="B110" s="33"/>
      <c r="D110" s="47" t="str">
        <f>PTAout!D115</f>
        <v>Number of activities</v>
      </c>
      <c r="E110" s="47"/>
      <c r="F110" s="190" t="str">
        <f>PTAout!F115</f>
        <v/>
      </c>
      <c r="G110" s="190"/>
      <c r="H110" s="190"/>
      <c r="I110" s="190"/>
      <c r="J110" s="270" t="str">
        <f>PTAout!H115</f>
        <v/>
      </c>
      <c r="K110" s="270" t="str">
        <f>PTAout!L115</f>
        <v/>
      </c>
      <c r="L110" s="270" t="str">
        <f>PTAout!Q115</f>
        <v/>
      </c>
      <c r="M110" s="270" t="str">
        <f>PTAout!V115</f>
        <v/>
      </c>
      <c r="N110" s="270" t="str">
        <f>PTAout!AA115</f>
        <v/>
      </c>
      <c r="O110" s="270" t="str">
        <f>PTAout!AF115</f>
        <v/>
      </c>
      <c r="P110" s="199"/>
      <c r="Q110" s="640"/>
      <c r="R110" s="640"/>
      <c r="S110" s="640"/>
      <c r="T110" s="640"/>
      <c r="U110" s="641"/>
      <c r="V110" s="31"/>
      <c r="W110" s="29"/>
      <c r="X110" s="29"/>
      <c r="Y110" s="29"/>
      <c r="Z110" s="29"/>
    </row>
    <row r="111" spans="2:26" ht="15" customHeight="1">
      <c r="B111" s="33"/>
      <c r="D111" s="47" t="str">
        <f>PTAout!D116</f>
        <v>Duration</v>
      </c>
      <c r="E111" s="47"/>
      <c r="F111" s="190" t="str">
        <f>PTAout!F116</f>
        <v/>
      </c>
      <c r="G111" s="190"/>
      <c r="H111" s="190"/>
      <c r="I111" s="190"/>
      <c r="J111" s="270" t="str">
        <f>PTAout!H116</f>
        <v/>
      </c>
      <c r="K111" s="270" t="str">
        <f>PTAout!L116</f>
        <v/>
      </c>
      <c r="L111" s="270" t="str">
        <f>PTAout!Q116</f>
        <v/>
      </c>
      <c r="M111" s="270" t="str">
        <f>PTAout!V116</f>
        <v/>
      </c>
      <c r="N111" s="270" t="str">
        <f>PTAout!AA116</f>
        <v/>
      </c>
      <c r="O111" s="270" t="str">
        <f>PTAout!AF116</f>
        <v/>
      </c>
      <c r="P111" s="199"/>
      <c r="Q111" s="640"/>
      <c r="R111" s="640"/>
      <c r="S111" s="640"/>
      <c r="T111" s="640"/>
      <c r="U111" s="641"/>
      <c r="V111" s="31"/>
      <c r="W111" s="29"/>
      <c r="X111" s="29"/>
      <c r="Y111" s="29"/>
      <c r="Z111" s="29"/>
    </row>
    <row r="112" spans="2:26" ht="15" customHeight="1">
      <c r="B112" s="33"/>
      <c r="C112" s="59"/>
      <c r="D112" s="85" t="str">
        <f>PTAout!D117</f>
        <v>Quality</v>
      </c>
      <c r="E112" s="85"/>
      <c r="F112" s="294" t="str">
        <f>PTAout!F117</f>
        <v/>
      </c>
      <c r="G112" s="294"/>
      <c r="H112" s="294"/>
      <c r="I112" s="190"/>
      <c r="J112" s="295" t="str">
        <f>PTAout!H117</f>
        <v/>
      </c>
      <c r="K112" s="295" t="str">
        <f>PTAout!L117</f>
        <v/>
      </c>
      <c r="L112" s="295" t="str">
        <f>PTAout!Q117</f>
        <v/>
      </c>
      <c r="M112" s="295" t="str">
        <f>PTAout!V117</f>
        <v/>
      </c>
      <c r="N112" s="295" t="str">
        <f>PTAout!AA117</f>
        <v/>
      </c>
      <c r="O112" s="295" t="str">
        <f>PTAout!AF117</f>
        <v/>
      </c>
      <c r="P112" s="301"/>
      <c r="Q112" s="642"/>
      <c r="R112" s="642"/>
      <c r="S112" s="642"/>
      <c r="T112" s="642"/>
      <c r="U112" s="643"/>
      <c r="V112" s="31"/>
      <c r="W112" s="29"/>
      <c r="X112" s="29"/>
      <c r="Y112" s="29"/>
      <c r="Z112" s="29"/>
    </row>
    <row r="113" spans="2:26" ht="15" customHeight="1">
      <c r="B113" s="33"/>
      <c r="C113" s="62" t="str">
        <f>PTAout!C118</f>
        <v>Car parking</v>
      </c>
      <c r="D113" s="47"/>
      <c r="E113" s="47"/>
      <c r="F113" s="223"/>
      <c r="G113" s="652"/>
      <c r="H113" s="652"/>
      <c r="I113" s="652"/>
      <c r="J113" s="421"/>
      <c r="K113" s="421"/>
      <c r="L113" s="421"/>
      <c r="M113" s="421"/>
      <c r="N113" s="421"/>
      <c r="O113" s="421"/>
      <c r="P113" s="400"/>
      <c r="Q113" s="638"/>
      <c r="R113" s="638"/>
      <c r="S113" s="638"/>
      <c r="T113" s="638"/>
      <c r="U113" s="638"/>
      <c r="V113" s="31"/>
      <c r="W113" s="29"/>
      <c r="X113" s="29"/>
      <c r="Y113" s="29"/>
      <c r="Z113" s="29"/>
    </row>
    <row r="114" spans="2:26" ht="15" customHeight="1">
      <c r="B114" s="33"/>
      <c r="D114" s="187" t="str">
        <f>PTAout!D119</f>
        <v>Space</v>
      </c>
      <c r="E114" s="47"/>
      <c r="F114" s="190" t="str">
        <f>PTAout!F119</f>
        <v>Width available</v>
      </c>
      <c r="G114" s="190"/>
      <c r="H114" s="190"/>
      <c r="I114" s="190"/>
      <c r="J114" s="270" t="str">
        <f>PTAout!H119</f>
        <v/>
      </c>
      <c r="K114" s="270" t="str">
        <f>PTAout!L119</f>
        <v/>
      </c>
      <c r="L114" s="270" t="str">
        <f>PTAout!Q119</f>
        <v/>
      </c>
      <c r="M114" s="270" t="str">
        <f>PTAout!V119</f>
        <v/>
      </c>
      <c r="N114" s="270" t="str">
        <f>PTAout!AA119</f>
        <v/>
      </c>
      <c r="O114" s="270" t="str">
        <f>PTAout!AF119</f>
        <v/>
      </c>
      <c r="P114" s="198"/>
      <c r="Q114" s="640"/>
      <c r="R114" s="640"/>
      <c r="S114" s="640"/>
      <c r="T114" s="640"/>
      <c r="U114" s="645"/>
      <c r="V114" s="31"/>
      <c r="W114" s="29"/>
      <c r="X114" s="29"/>
      <c r="Y114" s="29"/>
      <c r="Z114" s="29"/>
    </row>
    <row r="115" spans="2:26" ht="15" customHeight="1">
      <c r="B115" s="33"/>
      <c r="D115" s="47" t="str">
        <f>PTAout!D120</f>
        <v>Number of activities</v>
      </c>
      <c r="E115" s="47"/>
      <c r="F115" s="190" t="str">
        <f>PTAout!F120</f>
        <v/>
      </c>
      <c r="G115" s="190"/>
      <c r="H115" s="190"/>
      <c r="I115" s="190"/>
      <c r="J115" s="399" t="str">
        <f>PTAout!H120</f>
        <v/>
      </c>
      <c r="K115" s="399" t="str">
        <f>PTAout!L120</f>
        <v/>
      </c>
      <c r="L115" s="399" t="str">
        <f>PTAout!Q120</f>
        <v/>
      </c>
      <c r="M115" s="399" t="str">
        <f>PTAout!V120</f>
        <v/>
      </c>
      <c r="N115" s="399" t="str">
        <f>PTAout!AA120</f>
        <v/>
      </c>
      <c r="O115" s="399" t="str">
        <f>PTAout!AF120</f>
        <v/>
      </c>
      <c r="P115" s="45"/>
      <c r="Q115" s="193"/>
      <c r="R115" s="193"/>
      <c r="S115" s="193"/>
      <c r="T115" s="193"/>
      <c r="U115" s="645"/>
      <c r="V115" s="31"/>
      <c r="W115" s="29"/>
      <c r="X115" s="29"/>
      <c r="Y115" s="29"/>
      <c r="Z115" s="29"/>
    </row>
    <row r="116" spans="2:26" ht="15" customHeight="1">
      <c r="B116" s="33"/>
      <c r="D116" s="47" t="str">
        <f>PTAout!D121</f>
        <v>Duration</v>
      </c>
      <c r="E116" s="47"/>
      <c r="F116" s="190" t="str">
        <f>PTAout!F121</f>
        <v/>
      </c>
      <c r="G116" s="190"/>
      <c r="H116" s="190"/>
      <c r="I116" s="190"/>
      <c r="J116" s="399" t="str">
        <f>PTAout!H121</f>
        <v/>
      </c>
      <c r="K116" s="399" t="str">
        <f>PTAout!L121</f>
        <v/>
      </c>
      <c r="L116" s="399" t="str">
        <f>PTAout!Q121</f>
        <v/>
      </c>
      <c r="M116" s="399" t="str">
        <f>PTAout!V121</f>
        <v/>
      </c>
      <c r="N116" s="399" t="str">
        <f>PTAout!AA121</f>
        <v/>
      </c>
      <c r="O116" s="399" t="str">
        <f>PTAout!AF121</f>
        <v/>
      </c>
      <c r="P116" s="45"/>
      <c r="Q116" s="193"/>
      <c r="R116" s="193"/>
      <c r="S116" s="193"/>
      <c r="T116" s="193"/>
      <c r="U116" s="645"/>
      <c r="V116" s="31"/>
      <c r="W116" s="29"/>
      <c r="X116" s="29"/>
      <c r="Y116" s="29"/>
      <c r="Z116" s="29"/>
    </row>
    <row r="117" spans="2:26" ht="15" customHeight="1">
      <c r="B117" s="33"/>
      <c r="C117" s="59"/>
      <c r="D117" s="85" t="str">
        <f>PTAout!D122</f>
        <v>Quality</v>
      </c>
      <c r="E117" s="85"/>
      <c r="F117" s="294" t="str">
        <f>PTAout!F122</f>
        <v/>
      </c>
      <c r="G117" s="294"/>
      <c r="H117" s="294"/>
      <c r="I117" s="190"/>
      <c r="J117" s="303" t="str">
        <f>PTAout!H122</f>
        <v/>
      </c>
      <c r="K117" s="302" t="str">
        <f>PTAout!L122</f>
        <v/>
      </c>
      <c r="L117" s="302" t="str">
        <f>PTAout!Q122</f>
        <v/>
      </c>
      <c r="M117" s="302" t="str">
        <f>PTAout!V122</f>
        <v/>
      </c>
      <c r="N117" s="302" t="str">
        <f>PTAout!AA122</f>
        <v/>
      </c>
      <c r="O117" s="302" t="str">
        <f>PTAout!AF122</f>
        <v/>
      </c>
      <c r="P117" s="91"/>
      <c r="Q117" s="635"/>
      <c r="R117" s="635"/>
      <c r="S117" s="635"/>
      <c r="T117" s="635"/>
      <c r="U117" s="646"/>
      <c r="V117" s="31"/>
      <c r="W117" s="29"/>
      <c r="X117" s="29"/>
      <c r="Y117" s="29"/>
      <c r="Z117" s="29"/>
    </row>
    <row r="118" spans="2:26" ht="15" customHeight="1">
      <c r="B118" s="33"/>
      <c r="C118" s="62" t="str">
        <f>PTAout!C123</f>
        <v>Car/taxi stopping</v>
      </c>
      <c r="D118" s="47"/>
      <c r="E118" s="47"/>
      <c r="F118" s="223"/>
      <c r="G118" s="652"/>
      <c r="H118" s="652"/>
      <c r="I118" s="652"/>
      <c r="J118" s="421"/>
      <c r="K118" s="421"/>
      <c r="L118" s="421"/>
      <c r="M118" s="421"/>
      <c r="N118" s="421"/>
      <c r="O118" s="421"/>
      <c r="P118" s="400"/>
      <c r="Q118" s="638"/>
      <c r="R118" s="638"/>
      <c r="S118" s="638"/>
      <c r="T118" s="638"/>
      <c r="U118" s="638"/>
      <c r="V118" s="31"/>
      <c r="W118" s="29"/>
      <c r="X118" s="29"/>
      <c r="Y118" s="29"/>
      <c r="Z118" s="29"/>
    </row>
    <row r="119" spans="2:26" ht="15" customHeight="1">
      <c r="B119" s="33"/>
      <c r="D119" s="187" t="str">
        <f>PTAout!D124</f>
        <v>Space</v>
      </c>
      <c r="E119" s="47"/>
      <c r="F119" s="190" t="str">
        <f>PTAout!F124</f>
        <v>Width available</v>
      </c>
      <c r="G119" s="190"/>
      <c r="H119" s="190"/>
      <c r="I119" s="190"/>
      <c r="J119" s="270" t="str">
        <f>PTAout!H124</f>
        <v/>
      </c>
      <c r="K119" s="270" t="str">
        <f>PTAout!L124</f>
        <v/>
      </c>
      <c r="L119" s="270" t="str">
        <f>PTAout!Q124</f>
        <v/>
      </c>
      <c r="M119" s="270" t="str">
        <f>PTAout!V124</f>
        <v/>
      </c>
      <c r="N119" s="270" t="str">
        <f>PTAout!AA124</f>
        <v/>
      </c>
      <c r="O119" s="270" t="str">
        <f>PTAout!AF124</f>
        <v/>
      </c>
      <c r="P119" s="198"/>
      <c r="Q119" s="640"/>
      <c r="R119" s="640"/>
      <c r="S119" s="640"/>
      <c r="T119" s="640"/>
      <c r="U119" s="645"/>
      <c r="V119" s="31"/>
      <c r="W119" s="29"/>
      <c r="X119" s="29"/>
      <c r="Y119" s="29"/>
      <c r="Z119" s="29"/>
    </row>
    <row r="120" spans="2:26" ht="15" customHeight="1">
      <c r="B120" s="33"/>
      <c r="D120" s="47" t="str">
        <f>PTAout!D125</f>
        <v>Number of activities</v>
      </c>
      <c r="E120" s="47"/>
      <c r="F120" s="190" t="str">
        <f>PTAout!F125</f>
        <v/>
      </c>
      <c r="G120" s="190"/>
      <c r="H120" s="190"/>
      <c r="I120" s="190"/>
      <c r="J120" s="270" t="str">
        <f>PTAout!H125</f>
        <v/>
      </c>
      <c r="K120" s="270" t="str">
        <f>PTAout!L125</f>
        <v/>
      </c>
      <c r="L120" s="270" t="str">
        <f>PTAout!Q125</f>
        <v/>
      </c>
      <c r="M120" s="270" t="str">
        <f>PTAout!V125</f>
        <v/>
      </c>
      <c r="N120" s="270" t="str">
        <f>PTAout!AA125</f>
        <v/>
      </c>
      <c r="O120" s="270" t="str">
        <f>PTAout!AF125</f>
        <v/>
      </c>
      <c r="P120" s="199"/>
      <c r="Q120" s="193"/>
      <c r="R120" s="193"/>
      <c r="S120" s="193"/>
      <c r="T120" s="193"/>
      <c r="U120" s="645"/>
      <c r="V120" s="31"/>
      <c r="W120" s="29"/>
      <c r="X120" s="29"/>
      <c r="Y120" s="29"/>
      <c r="Z120" s="29"/>
    </row>
    <row r="121" spans="2:26" ht="15" customHeight="1">
      <c r="B121" s="33"/>
      <c r="D121" s="47" t="str">
        <f>PTAout!D126</f>
        <v>Duration</v>
      </c>
      <c r="E121" s="47"/>
      <c r="F121" s="190" t="str">
        <f>PTAout!F126</f>
        <v/>
      </c>
      <c r="G121" s="190"/>
      <c r="H121" s="190"/>
      <c r="I121" s="190"/>
      <c r="J121" s="270" t="str">
        <f>PTAout!H126</f>
        <v/>
      </c>
      <c r="K121" s="270" t="str">
        <f>PTAout!L126</f>
        <v/>
      </c>
      <c r="L121" s="270" t="str">
        <f>PTAout!Q126</f>
        <v/>
      </c>
      <c r="M121" s="270" t="str">
        <f>PTAout!V126</f>
        <v/>
      </c>
      <c r="N121" s="270" t="str">
        <f>PTAout!AA126</f>
        <v/>
      </c>
      <c r="O121" s="270" t="str">
        <f>PTAout!AF126</f>
        <v/>
      </c>
      <c r="P121" s="199"/>
      <c r="Q121" s="193"/>
      <c r="R121" s="193"/>
      <c r="S121" s="193"/>
      <c r="T121" s="193"/>
      <c r="U121" s="645"/>
      <c r="V121" s="31"/>
      <c r="W121" s="29"/>
      <c r="X121" s="29"/>
      <c r="Y121" s="29"/>
      <c r="Z121" s="29"/>
    </row>
    <row r="122" spans="2:26" ht="15" customHeight="1">
      <c r="B122" s="33"/>
      <c r="C122" s="59"/>
      <c r="D122" s="85" t="str">
        <f>PTAout!D127</f>
        <v>Quality</v>
      </c>
      <c r="E122" s="85"/>
      <c r="F122" s="294" t="str">
        <f>PTAout!F127</f>
        <v/>
      </c>
      <c r="G122" s="294"/>
      <c r="H122" s="294"/>
      <c r="I122" s="190"/>
      <c r="J122" s="295" t="str">
        <f>PTAout!H127</f>
        <v/>
      </c>
      <c r="K122" s="295" t="str">
        <f>PTAout!L127</f>
        <v/>
      </c>
      <c r="L122" s="295" t="str">
        <f>PTAout!Q127</f>
        <v/>
      </c>
      <c r="M122" s="295" t="str">
        <f>PTAout!V127</f>
        <v/>
      </c>
      <c r="N122" s="295" t="str">
        <f>PTAout!AA127</f>
        <v/>
      </c>
      <c r="O122" s="295" t="str">
        <f>PTAout!AF127</f>
        <v/>
      </c>
      <c r="P122" s="301"/>
      <c r="Q122" s="635"/>
      <c r="R122" s="635"/>
      <c r="S122" s="635"/>
      <c r="T122" s="635"/>
      <c r="U122" s="646"/>
      <c r="V122" s="31"/>
      <c r="W122" s="29"/>
      <c r="X122" s="29"/>
      <c r="Y122" s="29"/>
      <c r="Z122" s="29"/>
    </row>
    <row r="123" spans="2:26" ht="15" customHeight="1">
      <c r="B123" s="33"/>
      <c r="C123" s="62" t="str">
        <f>PTAout!C128</f>
        <v>Car share</v>
      </c>
      <c r="D123" s="47"/>
      <c r="E123" s="47"/>
      <c r="F123" s="370"/>
      <c r="G123" s="652"/>
      <c r="H123" s="652"/>
      <c r="I123" s="652"/>
      <c r="J123" s="423"/>
      <c r="K123" s="423"/>
      <c r="L123" s="423"/>
      <c r="M123" s="423"/>
      <c r="N123" s="423"/>
      <c r="O123" s="423"/>
      <c r="P123" s="76"/>
      <c r="Q123" s="644"/>
      <c r="R123" s="644"/>
      <c r="S123" s="644"/>
      <c r="T123" s="644"/>
      <c r="U123" s="638"/>
      <c r="V123" s="31"/>
      <c r="W123" s="29"/>
      <c r="X123" s="29"/>
      <c r="Y123" s="29"/>
      <c r="Z123" s="29"/>
    </row>
    <row r="124" spans="2:26" ht="15" customHeight="1">
      <c r="B124" s="33"/>
      <c r="D124" s="187" t="str">
        <f>PTAout!D129</f>
        <v>Space</v>
      </c>
      <c r="E124" s="47"/>
      <c r="F124" s="190" t="str">
        <f>PTAout!F129</f>
        <v>Width available</v>
      </c>
      <c r="G124" s="190"/>
      <c r="H124" s="190"/>
      <c r="I124" s="190"/>
      <c r="J124" s="270" t="str">
        <f>PTAout!H129</f>
        <v/>
      </c>
      <c r="K124" s="270" t="str">
        <f>PTAout!L129</f>
        <v/>
      </c>
      <c r="L124" s="270" t="str">
        <f>PTAout!Q129</f>
        <v/>
      </c>
      <c r="M124" s="270" t="str">
        <f>PTAout!V129</f>
        <v/>
      </c>
      <c r="N124" s="270" t="str">
        <f>PTAout!AA129</f>
        <v/>
      </c>
      <c r="O124" s="270" t="str">
        <f>PTAout!AF129</f>
        <v/>
      </c>
      <c r="P124" s="198"/>
      <c r="Q124" s="640"/>
      <c r="R124" s="640"/>
      <c r="S124" s="640"/>
      <c r="T124" s="640"/>
      <c r="U124" s="645"/>
      <c r="V124" s="31"/>
      <c r="W124" s="29"/>
      <c r="X124" s="29"/>
      <c r="Y124" s="29"/>
      <c r="Z124" s="29"/>
    </row>
    <row r="125" spans="2:26" ht="15" customHeight="1">
      <c r="B125" s="33"/>
      <c r="D125" s="47" t="str">
        <f>PTAout!D130</f>
        <v>Number of activities</v>
      </c>
      <c r="E125" s="47"/>
      <c r="F125" s="190" t="str">
        <f>PTAout!F130</f>
        <v/>
      </c>
      <c r="G125" s="190"/>
      <c r="H125" s="190"/>
      <c r="I125" s="190"/>
      <c r="J125" s="270" t="str">
        <f>PTAout!H130</f>
        <v/>
      </c>
      <c r="K125" s="270" t="str">
        <f>PTAout!L130</f>
        <v/>
      </c>
      <c r="L125" s="270" t="str">
        <f>PTAout!Q130</f>
        <v/>
      </c>
      <c r="M125" s="270" t="str">
        <f>PTAout!V130</f>
        <v/>
      </c>
      <c r="N125" s="270" t="str">
        <f>PTAout!AA130</f>
        <v/>
      </c>
      <c r="O125" s="270" t="str">
        <f>PTAout!AF130</f>
        <v/>
      </c>
      <c r="P125" s="199"/>
      <c r="Q125" s="193"/>
      <c r="R125" s="193"/>
      <c r="S125" s="193"/>
      <c r="T125" s="193"/>
      <c r="U125" s="645"/>
      <c r="V125" s="31"/>
      <c r="W125" s="29"/>
      <c r="X125" s="29"/>
      <c r="Y125" s="29"/>
      <c r="Z125" s="29"/>
    </row>
    <row r="126" spans="2:26" ht="15" customHeight="1">
      <c r="B126" s="33"/>
      <c r="D126" s="47" t="str">
        <f>PTAout!D131</f>
        <v>Duration</v>
      </c>
      <c r="E126" s="47"/>
      <c r="F126" s="190" t="str">
        <f>PTAout!F131</f>
        <v/>
      </c>
      <c r="G126" s="190"/>
      <c r="H126" s="190"/>
      <c r="I126" s="190"/>
      <c r="J126" s="270" t="str">
        <f>PTAout!H131</f>
        <v/>
      </c>
      <c r="K126" s="270" t="str">
        <f>PTAout!L131</f>
        <v/>
      </c>
      <c r="L126" s="270" t="str">
        <f>PTAout!Q131</f>
        <v/>
      </c>
      <c r="M126" s="270" t="str">
        <f>PTAout!V131</f>
        <v/>
      </c>
      <c r="N126" s="270" t="str">
        <f>PTAout!AA131</f>
        <v/>
      </c>
      <c r="O126" s="270" t="str">
        <f>PTAout!AF131</f>
        <v/>
      </c>
      <c r="P126" s="199"/>
      <c r="Q126" s="193"/>
      <c r="R126" s="193"/>
      <c r="S126" s="193"/>
      <c r="T126" s="193"/>
      <c r="U126" s="645"/>
      <c r="V126" s="31"/>
      <c r="W126" s="29"/>
      <c r="X126" s="29"/>
      <c r="Y126" s="29"/>
      <c r="Z126" s="29"/>
    </row>
    <row r="127" spans="2:26" ht="15" customHeight="1">
      <c r="B127" s="33"/>
      <c r="C127" s="59"/>
      <c r="D127" s="85" t="str">
        <f>PTAout!D132</f>
        <v>Quality</v>
      </c>
      <c r="E127" s="85"/>
      <c r="F127" s="294" t="str">
        <f>PTAout!F132</f>
        <v/>
      </c>
      <c r="G127" s="294"/>
      <c r="H127" s="294"/>
      <c r="I127" s="190"/>
      <c r="J127" s="295" t="str">
        <f>PTAout!H132</f>
        <v/>
      </c>
      <c r="K127" s="295" t="str">
        <f>PTAout!L132</f>
        <v/>
      </c>
      <c r="L127" s="295" t="str">
        <f>PTAout!Q132</f>
        <v/>
      </c>
      <c r="M127" s="295" t="str">
        <f>PTAout!V132</f>
        <v/>
      </c>
      <c r="N127" s="295" t="str">
        <f>PTAout!AA132</f>
        <v/>
      </c>
      <c r="O127" s="295" t="str">
        <f>PTAout!AF132</f>
        <v/>
      </c>
      <c r="P127" s="301"/>
      <c r="Q127" s="635"/>
      <c r="R127" s="635"/>
      <c r="S127" s="635"/>
      <c r="T127" s="635"/>
      <c r="U127" s="646"/>
      <c r="V127" s="31"/>
      <c r="W127" s="29"/>
      <c r="X127" s="29"/>
      <c r="Y127" s="29"/>
      <c r="Z127" s="29"/>
    </row>
    <row r="128" spans="2:26" ht="15" customHeight="1">
      <c r="B128" s="33"/>
      <c r="C128" s="62" t="str">
        <f>PTAout!C133</f>
        <v>Bus stopping</v>
      </c>
      <c r="D128" s="47"/>
      <c r="E128" s="47"/>
      <c r="F128" s="370"/>
      <c r="G128" s="652"/>
      <c r="H128" s="652"/>
      <c r="I128" s="652"/>
      <c r="J128" s="423"/>
      <c r="K128" s="423"/>
      <c r="L128" s="423"/>
      <c r="M128" s="423"/>
      <c r="N128" s="423"/>
      <c r="O128" s="423"/>
      <c r="P128" s="76"/>
      <c r="Q128" s="644"/>
      <c r="R128" s="644"/>
      <c r="S128" s="644"/>
      <c r="T128" s="644"/>
      <c r="U128" s="638"/>
      <c r="V128" s="31"/>
      <c r="W128" s="29"/>
      <c r="X128" s="29"/>
      <c r="Y128" s="29"/>
      <c r="Z128" s="29"/>
    </row>
    <row r="129" spans="2:26" ht="15" customHeight="1">
      <c r="B129" s="33"/>
      <c r="D129" s="187" t="str">
        <f>PTAout!D134</f>
        <v>Space</v>
      </c>
      <c r="E129" s="47"/>
      <c r="F129" s="190" t="str">
        <f>PTAout!F134</f>
        <v>Width available</v>
      </c>
      <c r="G129" s="190"/>
      <c r="H129" s="190"/>
      <c r="I129" s="190"/>
      <c r="J129" s="270" t="str">
        <f>PTAout!H134</f>
        <v/>
      </c>
      <c r="K129" s="270" t="str">
        <f>PTAout!L134</f>
        <v/>
      </c>
      <c r="L129" s="270" t="str">
        <f>PTAout!Q134</f>
        <v/>
      </c>
      <c r="M129" s="270" t="str">
        <f>PTAout!V134</f>
        <v/>
      </c>
      <c r="N129" s="270" t="str">
        <f>PTAout!AA134</f>
        <v/>
      </c>
      <c r="O129" s="270" t="str">
        <f>PTAout!AF134</f>
        <v/>
      </c>
      <c r="P129" s="198"/>
      <c r="Q129" s="640"/>
      <c r="R129" s="640"/>
      <c r="S129" s="640"/>
      <c r="T129" s="640"/>
      <c r="U129" s="645"/>
      <c r="V129" s="31"/>
      <c r="W129" s="29"/>
      <c r="X129" s="29"/>
      <c r="Y129" s="29"/>
      <c r="Z129" s="29"/>
    </row>
    <row r="130" spans="2:26" ht="15" customHeight="1">
      <c r="B130" s="33"/>
      <c r="D130" s="47" t="str">
        <f>PTAout!D135</f>
        <v>Number of activities</v>
      </c>
      <c r="E130" s="47"/>
      <c r="F130" s="190" t="str">
        <f>PTAout!F135</f>
        <v/>
      </c>
      <c r="G130" s="190"/>
      <c r="H130" s="190"/>
      <c r="I130" s="190"/>
      <c r="J130" s="270" t="str">
        <f>PTAout!H135</f>
        <v/>
      </c>
      <c r="K130" s="270" t="str">
        <f>PTAout!L135</f>
        <v/>
      </c>
      <c r="L130" s="270" t="str">
        <f>PTAout!Q135</f>
        <v/>
      </c>
      <c r="M130" s="270" t="str">
        <f>PTAout!V135</f>
        <v/>
      </c>
      <c r="N130" s="270" t="str">
        <f>PTAout!AA135</f>
        <v/>
      </c>
      <c r="O130" s="270" t="str">
        <f>PTAout!AF135</f>
        <v/>
      </c>
      <c r="P130" s="199"/>
      <c r="Q130" s="193"/>
      <c r="R130" s="193"/>
      <c r="S130" s="193"/>
      <c r="T130" s="193"/>
      <c r="U130" s="645"/>
      <c r="V130" s="31"/>
      <c r="W130" s="29"/>
      <c r="X130" s="29"/>
      <c r="Y130" s="29"/>
      <c r="Z130" s="29"/>
    </row>
    <row r="131" spans="2:26" ht="15" customHeight="1">
      <c r="B131" s="33"/>
      <c r="D131" s="47" t="str">
        <f>PTAout!D136</f>
        <v>Duration</v>
      </c>
      <c r="E131" s="47"/>
      <c r="F131" s="190" t="str">
        <f>PTAout!F136</f>
        <v/>
      </c>
      <c r="G131" s="190"/>
      <c r="H131" s="190"/>
      <c r="I131" s="190"/>
      <c r="J131" s="270" t="str">
        <f>PTAout!H136</f>
        <v/>
      </c>
      <c r="K131" s="270" t="str">
        <f>PTAout!L136</f>
        <v/>
      </c>
      <c r="L131" s="270" t="str">
        <f>PTAout!Q136</f>
        <v/>
      </c>
      <c r="M131" s="270" t="str">
        <f>PTAout!V136</f>
        <v/>
      </c>
      <c r="N131" s="270" t="str">
        <f>PTAout!AA136</f>
        <v/>
      </c>
      <c r="O131" s="270" t="str">
        <f>PTAout!AF136</f>
        <v/>
      </c>
      <c r="P131" s="199"/>
      <c r="Q131" s="193"/>
      <c r="R131" s="193"/>
      <c r="S131" s="193"/>
      <c r="T131" s="193"/>
      <c r="U131" s="645"/>
      <c r="V131" s="31"/>
      <c r="W131" s="29"/>
      <c r="X131" s="29"/>
      <c r="Y131" s="29"/>
      <c r="Z131" s="29"/>
    </row>
    <row r="132" spans="2:26" ht="15" customHeight="1">
      <c r="B132" s="33"/>
      <c r="C132" s="59"/>
      <c r="D132" s="85" t="str">
        <f>PTAout!D137</f>
        <v>Quality</v>
      </c>
      <c r="E132" s="85"/>
      <c r="F132" s="294" t="str">
        <f>PTAout!F137</f>
        <v/>
      </c>
      <c r="G132" s="294"/>
      <c r="H132" s="294"/>
      <c r="I132" s="190"/>
      <c r="J132" s="295" t="str">
        <f>PTAout!H137</f>
        <v/>
      </c>
      <c r="K132" s="295" t="str">
        <f>PTAout!L137</f>
        <v/>
      </c>
      <c r="L132" s="295" t="str">
        <f>PTAout!Q137</f>
        <v/>
      </c>
      <c r="M132" s="295" t="str">
        <f>PTAout!V137</f>
        <v/>
      </c>
      <c r="N132" s="295" t="str">
        <f>PTAout!AA137</f>
        <v/>
      </c>
      <c r="O132" s="295" t="str">
        <f>PTAout!AF137</f>
        <v/>
      </c>
      <c r="P132" s="301"/>
      <c r="Q132" s="635"/>
      <c r="R132" s="635"/>
      <c r="S132" s="635"/>
      <c r="T132" s="635"/>
      <c r="U132" s="646"/>
      <c r="V132" s="31"/>
      <c r="W132" s="29"/>
      <c r="X132" s="29"/>
      <c r="Y132" s="29"/>
      <c r="Z132" s="29"/>
    </row>
    <row r="133" spans="2:26" ht="15" customHeight="1">
      <c r="B133" s="33"/>
      <c r="C133" s="62" t="str">
        <f>PTAout!C138</f>
        <v>Loading (goods vehicle)</v>
      </c>
      <c r="D133" s="47"/>
      <c r="E133" s="47"/>
      <c r="F133" s="370"/>
      <c r="G133" s="652"/>
      <c r="H133" s="652"/>
      <c r="I133" s="652"/>
      <c r="J133" s="423"/>
      <c r="K133" s="423"/>
      <c r="L133" s="423"/>
      <c r="M133" s="423"/>
      <c r="N133" s="423"/>
      <c r="O133" s="423"/>
      <c r="P133" s="76"/>
      <c r="Q133" s="644"/>
      <c r="R133" s="644"/>
      <c r="S133" s="644"/>
      <c r="T133" s="644"/>
      <c r="U133" s="638"/>
      <c r="V133" s="31"/>
      <c r="W133" s="29"/>
      <c r="X133" s="29"/>
      <c r="Y133" s="29"/>
      <c r="Z133" s="29"/>
    </row>
    <row r="134" spans="2:26" ht="15" customHeight="1">
      <c r="B134" s="33"/>
      <c r="D134" s="187" t="str">
        <f>PTAout!D139</f>
        <v>Space</v>
      </c>
      <c r="E134" s="47"/>
      <c r="F134" s="190" t="str">
        <f>PTAout!F139</f>
        <v>Width available</v>
      </c>
      <c r="G134" s="190"/>
      <c r="H134" s="190"/>
      <c r="I134" s="190"/>
      <c r="J134" s="270" t="str">
        <f>PTAout!H139</f>
        <v/>
      </c>
      <c r="K134" s="270" t="str">
        <f>PTAout!L139</f>
        <v/>
      </c>
      <c r="L134" s="270" t="str">
        <f>PTAout!Q139</f>
        <v/>
      </c>
      <c r="M134" s="270" t="str">
        <f>PTAout!V139</f>
        <v/>
      </c>
      <c r="N134" s="270" t="str">
        <f>PTAout!AA139</f>
        <v/>
      </c>
      <c r="O134" s="270" t="str">
        <f>PTAout!AF139</f>
        <v/>
      </c>
      <c r="P134" s="198"/>
      <c r="Q134" s="640"/>
      <c r="R134" s="640"/>
      <c r="S134" s="640"/>
      <c r="T134" s="640"/>
      <c r="U134" s="645"/>
      <c r="V134" s="31"/>
      <c r="W134" s="29"/>
      <c r="X134" s="29"/>
      <c r="Y134" s="29"/>
      <c r="Z134" s="29"/>
    </row>
    <row r="135" spans="2:26" ht="15" customHeight="1">
      <c r="B135" s="33"/>
      <c r="D135" s="47" t="str">
        <f>PTAout!D140</f>
        <v>Number of activities</v>
      </c>
      <c r="E135" s="47"/>
      <c r="F135" s="190" t="str">
        <f>PTAout!F140</f>
        <v/>
      </c>
      <c r="G135" s="190"/>
      <c r="H135" s="190"/>
      <c r="I135" s="190"/>
      <c r="J135" s="270" t="str">
        <f>PTAout!H140</f>
        <v/>
      </c>
      <c r="K135" s="270" t="str">
        <f>PTAout!L140</f>
        <v/>
      </c>
      <c r="L135" s="270" t="str">
        <f>PTAout!Q140</f>
        <v/>
      </c>
      <c r="M135" s="270" t="str">
        <f>PTAout!V140</f>
        <v/>
      </c>
      <c r="N135" s="270" t="str">
        <f>PTAout!AA140</f>
        <v/>
      </c>
      <c r="O135" s="270" t="str">
        <f>PTAout!AF140</f>
        <v/>
      </c>
      <c r="P135" s="199"/>
      <c r="Q135" s="193"/>
      <c r="R135" s="193"/>
      <c r="S135" s="193"/>
      <c r="T135" s="193"/>
      <c r="U135" s="645"/>
      <c r="V135" s="31"/>
      <c r="W135" s="29"/>
      <c r="X135" s="29"/>
      <c r="Y135" s="29"/>
      <c r="Z135" s="29"/>
    </row>
    <row r="136" spans="2:26" ht="15" customHeight="1">
      <c r="B136" s="33"/>
      <c r="D136" s="47" t="str">
        <f>PTAout!D141</f>
        <v>Duration</v>
      </c>
      <c r="E136" s="47"/>
      <c r="F136" s="190" t="str">
        <f>PTAout!F141</f>
        <v/>
      </c>
      <c r="G136" s="190"/>
      <c r="H136" s="190"/>
      <c r="I136" s="190"/>
      <c r="J136" s="270" t="str">
        <f>PTAout!H141</f>
        <v/>
      </c>
      <c r="K136" s="270" t="str">
        <f>PTAout!L141</f>
        <v/>
      </c>
      <c r="L136" s="270" t="str">
        <f>PTAout!Q141</f>
        <v/>
      </c>
      <c r="M136" s="270" t="str">
        <f>PTAout!V141</f>
        <v/>
      </c>
      <c r="N136" s="270" t="str">
        <f>PTAout!AA141</f>
        <v/>
      </c>
      <c r="O136" s="270" t="str">
        <f>PTAout!AF141</f>
        <v/>
      </c>
      <c r="P136" s="199"/>
      <c r="Q136" s="193"/>
      <c r="R136" s="193"/>
      <c r="S136" s="193"/>
      <c r="T136" s="193"/>
      <c r="U136" s="645"/>
      <c r="V136" s="31"/>
      <c r="W136" s="29"/>
      <c r="X136" s="29"/>
      <c r="Y136" s="29"/>
      <c r="Z136" s="29"/>
    </row>
    <row r="137" spans="2:26" ht="15" customHeight="1">
      <c r="B137" s="33"/>
      <c r="C137" s="59"/>
      <c r="D137" s="85" t="str">
        <f>PTAout!D142</f>
        <v>Quality</v>
      </c>
      <c r="E137" s="85"/>
      <c r="F137" s="294" t="str">
        <f>PTAout!F142</f>
        <v/>
      </c>
      <c r="G137" s="294"/>
      <c r="H137" s="294"/>
      <c r="I137" s="190"/>
      <c r="J137" s="295" t="str">
        <f>PTAout!H142</f>
        <v/>
      </c>
      <c r="K137" s="295" t="str">
        <f>PTAout!L142</f>
        <v/>
      </c>
      <c r="L137" s="295" t="str">
        <f>PTAout!Q142</f>
        <v/>
      </c>
      <c r="M137" s="295" t="str">
        <f>PTAout!V142</f>
        <v/>
      </c>
      <c r="N137" s="295" t="str">
        <f>PTAout!AA142</f>
        <v/>
      </c>
      <c r="O137" s="295" t="str">
        <f>PTAout!AF142</f>
        <v/>
      </c>
      <c r="P137" s="301"/>
      <c r="Q137" s="635"/>
      <c r="R137" s="635"/>
      <c r="S137" s="635"/>
      <c r="T137" s="635"/>
      <c r="U137" s="646"/>
      <c r="V137" s="31"/>
      <c r="W137" s="29"/>
      <c r="X137" s="29"/>
      <c r="Y137" s="29"/>
      <c r="Z137" s="29"/>
    </row>
    <row r="138" spans="2:26" ht="15" customHeight="1">
      <c r="B138" s="33"/>
      <c r="C138" s="62" t="str">
        <f>PTAout!C143</f>
        <v>All people-based activities</v>
      </c>
      <c r="D138" s="47"/>
      <c r="E138" s="47"/>
      <c r="F138" s="370"/>
      <c r="G138" s="652"/>
      <c r="H138" s="652"/>
      <c r="I138" s="652"/>
      <c r="J138" s="423"/>
      <c r="K138" s="423"/>
      <c r="L138" s="423"/>
      <c r="M138" s="423"/>
      <c r="N138" s="423"/>
      <c r="O138" s="423"/>
      <c r="P138" s="76"/>
      <c r="Q138" s="644"/>
      <c r="R138" s="644"/>
      <c r="S138" s="644"/>
      <c r="T138" s="644"/>
      <c r="U138" s="638"/>
      <c r="V138" s="31"/>
      <c r="W138" s="29"/>
      <c r="X138" s="29"/>
      <c r="Y138" s="29"/>
      <c r="Z138" s="29"/>
    </row>
    <row r="139" spans="2:26" ht="15" customHeight="1">
      <c r="B139" s="33"/>
      <c r="D139" s="187" t="str">
        <f>PTAout!D144</f>
        <v>Space</v>
      </c>
      <c r="E139" s="47"/>
      <c r="F139" s="190" t="str">
        <f>PTAout!F144</f>
        <v>Width available</v>
      </c>
      <c r="G139" s="190"/>
      <c r="H139" s="190"/>
      <c r="I139" s="190"/>
      <c r="J139" s="270" t="str">
        <f>PTAout!H144</f>
        <v/>
      </c>
      <c r="K139" s="270" t="str">
        <f>PTAout!L144</f>
        <v/>
      </c>
      <c r="L139" s="270" t="str">
        <f>PTAout!Q144</f>
        <v/>
      </c>
      <c r="M139" s="270" t="str">
        <f>PTAout!V144</f>
        <v/>
      </c>
      <c r="N139" s="270" t="str">
        <f>PTAout!AA144</f>
        <v/>
      </c>
      <c r="O139" s="270" t="str">
        <f>PTAout!AF144</f>
        <v/>
      </c>
      <c r="P139" s="198"/>
      <c r="Q139" s="640"/>
      <c r="R139" s="640"/>
      <c r="S139" s="640"/>
      <c r="T139" s="640"/>
      <c r="U139" s="645"/>
      <c r="V139" s="31"/>
      <c r="W139" s="29"/>
      <c r="X139" s="29"/>
      <c r="Y139" s="29"/>
      <c r="Z139" s="29"/>
    </row>
    <row r="140" spans="2:26" ht="15" customHeight="1">
      <c r="B140" s="33"/>
      <c r="D140" s="47" t="str">
        <f>PTAout!D145</f>
        <v>Number of activities</v>
      </c>
      <c r="E140" s="47"/>
      <c r="F140" s="190" t="str">
        <f>PTAout!F145</f>
        <v/>
      </c>
      <c r="G140" s="190"/>
      <c r="H140" s="190"/>
      <c r="I140" s="190"/>
      <c r="J140" s="270" t="str">
        <f>PTAout!H145</f>
        <v/>
      </c>
      <c r="K140" s="270" t="str">
        <f>PTAout!L145</f>
        <v/>
      </c>
      <c r="L140" s="270" t="str">
        <f>PTAout!Q145</f>
        <v/>
      </c>
      <c r="M140" s="270" t="str">
        <f>PTAout!V145</f>
        <v/>
      </c>
      <c r="N140" s="270" t="str">
        <f>PTAout!AA145</f>
        <v/>
      </c>
      <c r="O140" s="270" t="str">
        <f>PTAout!AF145</f>
        <v/>
      </c>
      <c r="P140" s="199"/>
      <c r="Q140" s="193"/>
      <c r="R140" s="193"/>
      <c r="S140" s="193"/>
      <c r="T140" s="193"/>
      <c r="U140" s="645"/>
      <c r="V140" s="31"/>
      <c r="W140" s="29"/>
      <c r="X140" s="29"/>
      <c r="Y140" s="29"/>
      <c r="Z140" s="29"/>
    </row>
    <row r="141" spans="2:26" ht="15" customHeight="1">
      <c r="B141" s="33"/>
      <c r="D141" s="47" t="str">
        <f>PTAout!D146</f>
        <v>Duration</v>
      </c>
      <c r="E141" s="47"/>
      <c r="F141" s="190" t="str">
        <f>PTAout!F146</f>
        <v/>
      </c>
      <c r="G141" s="190"/>
      <c r="H141" s="190"/>
      <c r="I141" s="190"/>
      <c r="J141" s="270" t="str">
        <f>PTAout!H146</f>
        <v/>
      </c>
      <c r="K141" s="270" t="str">
        <f>PTAout!L146</f>
        <v/>
      </c>
      <c r="L141" s="270" t="str">
        <f>PTAout!Q146</f>
        <v/>
      </c>
      <c r="M141" s="270" t="str">
        <f>PTAout!V146</f>
        <v/>
      </c>
      <c r="N141" s="270" t="str">
        <f>PTAout!AA146</f>
        <v/>
      </c>
      <c r="O141" s="270" t="str">
        <f>PTAout!AF146</f>
        <v/>
      </c>
      <c r="P141" s="199"/>
      <c r="Q141" s="193"/>
      <c r="R141" s="193"/>
      <c r="S141" s="193"/>
      <c r="T141" s="193"/>
      <c r="U141" s="645"/>
      <c r="V141" s="31"/>
      <c r="W141" s="29"/>
      <c r="X141" s="29"/>
      <c r="Y141" s="29"/>
      <c r="Z141" s="29"/>
    </row>
    <row r="142" spans="2:26" ht="15" customHeight="1">
      <c r="B142" s="33"/>
      <c r="C142" s="59"/>
      <c r="D142" s="85" t="str">
        <f>PTAout!D147</f>
        <v>Quality</v>
      </c>
      <c r="E142" s="85"/>
      <c r="F142" s="294" t="str">
        <f>PTAout!F147</f>
        <v/>
      </c>
      <c r="G142" s="294"/>
      <c r="H142" s="294"/>
      <c r="I142" s="190"/>
      <c r="J142" s="295" t="str">
        <f>PTAout!H147</f>
        <v/>
      </c>
      <c r="K142" s="295" t="str">
        <f>PTAout!L147</f>
        <v/>
      </c>
      <c r="L142" s="295" t="str">
        <f>PTAout!Q147</f>
        <v/>
      </c>
      <c r="M142" s="295" t="str">
        <f>PTAout!V147</f>
        <v/>
      </c>
      <c r="N142" s="295" t="str">
        <f>PTAout!AA147</f>
        <v/>
      </c>
      <c r="O142" s="295" t="str">
        <f>PTAout!AF147</f>
        <v/>
      </c>
      <c r="P142" s="301"/>
      <c r="Q142" s="635"/>
      <c r="R142" s="635"/>
      <c r="S142" s="635"/>
      <c r="T142" s="635"/>
      <c r="U142" s="646"/>
      <c r="V142" s="31"/>
      <c r="W142" s="29"/>
      <c r="X142" s="29"/>
      <c r="Y142" s="29"/>
      <c r="Z142" s="29"/>
    </row>
    <row r="143" spans="2:26" ht="15" customHeight="1">
      <c r="B143" s="33"/>
      <c r="C143" s="62" t="str">
        <f>PTAout!C148</f>
        <v>Strolling</v>
      </c>
      <c r="D143" s="47"/>
      <c r="E143" s="47"/>
      <c r="F143" s="370"/>
      <c r="G143" s="652"/>
      <c r="H143" s="652"/>
      <c r="I143" s="652"/>
      <c r="J143" s="423"/>
      <c r="K143" s="423"/>
      <c r="L143" s="423"/>
      <c r="M143" s="423"/>
      <c r="N143" s="423"/>
      <c r="O143" s="423"/>
      <c r="P143" s="76"/>
      <c r="Q143" s="644"/>
      <c r="R143" s="644"/>
      <c r="S143" s="644"/>
      <c r="T143" s="644"/>
      <c r="U143" s="638"/>
      <c r="V143" s="31"/>
      <c r="W143" s="29"/>
      <c r="X143" s="29"/>
      <c r="Y143" s="29"/>
      <c r="Z143" s="29"/>
    </row>
    <row r="144" spans="2:26" ht="15" customHeight="1">
      <c r="B144" s="33"/>
      <c r="D144" s="187" t="str">
        <f>PTAout!D149</f>
        <v>Space</v>
      </c>
      <c r="E144" s="47"/>
      <c r="F144" s="190" t="str">
        <f>PTAout!F149</f>
        <v>Width available</v>
      </c>
      <c r="G144" s="190"/>
      <c r="H144" s="190"/>
      <c r="I144" s="190"/>
      <c r="J144" s="270" t="str">
        <f>PTAout!H149</f>
        <v/>
      </c>
      <c r="K144" s="270" t="str">
        <f>PTAout!L149</f>
        <v/>
      </c>
      <c r="L144" s="270" t="str">
        <f>PTAout!Q149</f>
        <v/>
      </c>
      <c r="M144" s="270" t="str">
        <f>PTAout!V149</f>
        <v/>
      </c>
      <c r="N144" s="270" t="str">
        <f>PTAout!AA149</f>
        <v/>
      </c>
      <c r="O144" s="270" t="str">
        <f>PTAout!AF149</f>
        <v/>
      </c>
      <c r="P144" s="198"/>
      <c r="Q144" s="640"/>
      <c r="R144" s="640"/>
      <c r="S144" s="640"/>
      <c r="T144" s="640"/>
      <c r="U144" s="645"/>
      <c r="V144" s="31"/>
      <c r="W144" s="29"/>
      <c r="X144" s="29"/>
      <c r="Y144" s="29"/>
      <c r="Z144" s="29"/>
    </row>
    <row r="145" spans="2:26" ht="15" customHeight="1">
      <c r="B145" s="33"/>
      <c r="D145" s="47" t="str">
        <f>PTAout!D150</f>
        <v>Number of activities</v>
      </c>
      <c r="E145" s="47"/>
      <c r="F145" s="190" t="str">
        <f>PTAout!F150</f>
        <v/>
      </c>
      <c r="G145" s="190"/>
      <c r="H145" s="190"/>
      <c r="I145" s="190"/>
      <c r="J145" s="270" t="str">
        <f>PTAout!H150</f>
        <v/>
      </c>
      <c r="K145" s="270" t="str">
        <f>PTAout!L150</f>
        <v/>
      </c>
      <c r="L145" s="270" t="str">
        <f>PTAout!Q150</f>
        <v/>
      </c>
      <c r="M145" s="270" t="str">
        <f>PTAout!V150</f>
        <v/>
      </c>
      <c r="N145" s="270" t="str">
        <f>PTAout!AA150</f>
        <v/>
      </c>
      <c r="O145" s="270" t="str">
        <f>PTAout!AF150</f>
        <v/>
      </c>
      <c r="P145" s="199"/>
      <c r="Q145" s="193"/>
      <c r="R145" s="193"/>
      <c r="S145" s="193"/>
      <c r="T145" s="193"/>
      <c r="U145" s="645"/>
      <c r="V145" s="31"/>
      <c r="W145" s="29"/>
      <c r="X145" s="29"/>
      <c r="Y145" s="29"/>
      <c r="Z145" s="29"/>
    </row>
    <row r="146" spans="2:26" ht="15" customHeight="1">
      <c r="B146" s="33"/>
      <c r="D146" s="47" t="str">
        <f>PTAout!D151</f>
        <v>Duration</v>
      </c>
      <c r="E146" s="47"/>
      <c r="F146" s="190" t="str">
        <f>PTAout!F151</f>
        <v/>
      </c>
      <c r="G146" s="190"/>
      <c r="H146" s="190"/>
      <c r="I146" s="190"/>
      <c r="J146" s="270" t="str">
        <f>PTAout!H151</f>
        <v/>
      </c>
      <c r="K146" s="270" t="str">
        <f>PTAout!L151</f>
        <v/>
      </c>
      <c r="L146" s="270" t="str">
        <f>PTAout!Q151</f>
        <v/>
      </c>
      <c r="M146" s="270" t="str">
        <f>PTAout!V151</f>
        <v/>
      </c>
      <c r="N146" s="270" t="str">
        <f>PTAout!AA151</f>
        <v/>
      </c>
      <c r="O146" s="270" t="str">
        <f>PTAout!AF151</f>
        <v/>
      </c>
      <c r="P146" s="199"/>
      <c r="Q146" s="193"/>
      <c r="R146" s="193"/>
      <c r="S146" s="193"/>
      <c r="T146" s="193"/>
      <c r="U146" s="645"/>
      <c r="V146" s="31"/>
      <c r="W146" s="29"/>
      <c r="X146" s="29"/>
      <c r="Y146" s="29"/>
      <c r="Z146" s="29"/>
    </row>
    <row r="147" spans="2:26" ht="15" customHeight="1">
      <c r="B147" s="33"/>
      <c r="C147" s="59"/>
      <c r="D147" s="85" t="str">
        <f>PTAout!D152</f>
        <v>Quality</v>
      </c>
      <c r="E147" s="85"/>
      <c r="F147" s="294" t="str">
        <f>PTAout!F152</f>
        <v/>
      </c>
      <c r="G147" s="294"/>
      <c r="H147" s="294"/>
      <c r="I147" s="190"/>
      <c r="J147" s="295" t="str">
        <f>PTAout!H152</f>
        <v/>
      </c>
      <c r="K147" s="295" t="str">
        <f>PTAout!L152</f>
        <v/>
      </c>
      <c r="L147" s="295" t="str">
        <f>PTAout!Q152</f>
        <v/>
      </c>
      <c r="M147" s="295" t="str">
        <f>PTAout!V152</f>
        <v/>
      </c>
      <c r="N147" s="295" t="str">
        <f>PTAout!AA152</f>
        <v/>
      </c>
      <c r="O147" s="295" t="str">
        <f>PTAout!AF152</f>
        <v/>
      </c>
      <c r="P147" s="301"/>
      <c r="Q147" s="635"/>
      <c r="R147" s="635"/>
      <c r="S147" s="635"/>
      <c r="T147" s="635"/>
      <c r="U147" s="646"/>
      <c r="V147" s="31"/>
      <c r="W147" s="29"/>
      <c r="X147" s="29"/>
      <c r="Y147" s="29"/>
      <c r="Z147" s="29"/>
    </row>
    <row r="148" spans="2:26" ht="15" customHeight="1">
      <c r="B148" s="33"/>
      <c r="C148" s="62" t="str">
        <f>PTAout!C153</f>
        <v>Sitting (street furniture)</v>
      </c>
      <c r="D148" s="47"/>
      <c r="E148" s="47"/>
      <c r="F148" s="370"/>
      <c r="G148" s="652"/>
      <c r="H148" s="652"/>
      <c r="I148" s="652"/>
      <c r="J148" s="423"/>
      <c r="K148" s="423"/>
      <c r="L148" s="423"/>
      <c r="M148" s="423"/>
      <c r="N148" s="423"/>
      <c r="O148" s="423"/>
      <c r="P148" s="76"/>
      <c r="Q148" s="644"/>
      <c r="R148" s="644"/>
      <c r="S148" s="644"/>
      <c r="T148" s="644"/>
      <c r="U148" s="638"/>
      <c r="V148" s="31"/>
      <c r="W148" s="29"/>
      <c r="X148" s="29"/>
      <c r="Y148" s="29"/>
      <c r="Z148" s="29"/>
    </row>
    <row r="149" spans="2:26" ht="15" customHeight="1">
      <c r="B149" s="33"/>
      <c r="D149" s="187" t="str">
        <f>PTAout!D154</f>
        <v>Space</v>
      </c>
      <c r="E149" s="47"/>
      <c r="F149" s="190" t="str">
        <f>PTAout!F154</f>
        <v>Width available</v>
      </c>
      <c r="G149" s="190"/>
      <c r="H149" s="190"/>
      <c r="I149" s="190"/>
      <c r="J149" s="270" t="str">
        <f>PTAout!H154</f>
        <v/>
      </c>
      <c r="K149" s="270" t="str">
        <f>PTAout!L154</f>
        <v/>
      </c>
      <c r="L149" s="270" t="str">
        <f>PTAout!Q154</f>
        <v/>
      </c>
      <c r="M149" s="270" t="str">
        <f>PTAout!V154</f>
        <v/>
      </c>
      <c r="N149" s="270" t="str">
        <f>PTAout!AA154</f>
        <v/>
      </c>
      <c r="O149" s="270" t="str">
        <f>PTAout!AF154</f>
        <v/>
      </c>
      <c r="P149" s="198"/>
      <c r="Q149" s="640"/>
      <c r="R149" s="640"/>
      <c r="S149" s="640"/>
      <c r="T149" s="640"/>
      <c r="U149" s="645"/>
      <c r="V149" s="31"/>
      <c r="W149" s="29"/>
      <c r="X149" s="29"/>
      <c r="Y149" s="29"/>
      <c r="Z149" s="29"/>
    </row>
    <row r="150" spans="2:26" ht="15" customHeight="1">
      <c r="B150" s="33"/>
      <c r="D150" s="47" t="str">
        <f>PTAout!D155</f>
        <v>Number of activities</v>
      </c>
      <c r="E150" s="47"/>
      <c r="F150" s="190" t="str">
        <f>PTAout!F155</f>
        <v/>
      </c>
      <c r="G150" s="190"/>
      <c r="H150" s="190"/>
      <c r="I150" s="190"/>
      <c r="J150" s="270" t="str">
        <f>PTAout!H155</f>
        <v/>
      </c>
      <c r="K150" s="270" t="str">
        <f>PTAout!L155</f>
        <v/>
      </c>
      <c r="L150" s="270" t="str">
        <f>PTAout!Q155</f>
        <v/>
      </c>
      <c r="M150" s="270" t="str">
        <f>PTAout!V155</f>
        <v/>
      </c>
      <c r="N150" s="270" t="str">
        <f>PTAout!AA155</f>
        <v/>
      </c>
      <c r="O150" s="270" t="str">
        <f>PTAout!AF155</f>
        <v/>
      </c>
      <c r="P150" s="199"/>
      <c r="Q150" s="193"/>
      <c r="R150" s="193"/>
      <c r="S150" s="193"/>
      <c r="T150" s="193"/>
      <c r="U150" s="645"/>
      <c r="V150" s="31"/>
      <c r="W150" s="29"/>
      <c r="X150" s="29"/>
      <c r="Y150" s="29"/>
      <c r="Z150" s="29"/>
    </row>
    <row r="151" spans="2:26" ht="15" customHeight="1">
      <c r="B151" s="33"/>
      <c r="D151" s="47" t="str">
        <f>PTAout!D156</f>
        <v>Duration</v>
      </c>
      <c r="E151" s="47"/>
      <c r="F151" s="190" t="str">
        <f>PTAout!F156</f>
        <v/>
      </c>
      <c r="G151" s="190"/>
      <c r="H151" s="190"/>
      <c r="I151" s="190"/>
      <c r="J151" s="270" t="str">
        <f>PTAout!H156</f>
        <v/>
      </c>
      <c r="K151" s="270" t="str">
        <f>PTAout!L156</f>
        <v/>
      </c>
      <c r="L151" s="270" t="str">
        <f>PTAout!Q156</f>
        <v/>
      </c>
      <c r="M151" s="270" t="str">
        <f>PTAout!V156</f>
        <v/>
      </c>
      <c r="N151" s="270" t="str">
        <f>PTAout!AA156</f>
        <v/>
      </c>
      <c r="O151" s="270" t="str">
        <f>PTAout!AF156</f>
        <v/>
      </c>
      <c r="P151" s="199"/>
      <c r="Q151" s="193"/>
      <c r="R151" s="193"/>
      <c r="S151" s="193"/>
      <c r="T151" s="193"/>
      <c r="U151" s="645"/>
      <c r="V151" s="31"/>
      <c r="W151" s="29"/>
      <c r="X151" s="29"/>
      <c r="Y151" s="29"/>
      <c r="Z151" s="29"/>
    </row>
    <row r="152" spans="2:26" ht="15" customHeight="1">
      <c r="B152" s="33"/>
      <c r="C152" s="59"/>
      <c r="D152" s="85" t="str">
        <f>PTAout!D157</f>
        <v>Quality</v>
      </c>
      <c r="E152" s="85"/>
      <c r="F152" s="294" t="str">
        <f>PTAout!F157</f>
        <v/>
      </c>
      <c r="G152" s="294"/>
      <c r="H152" s="294"/>
      <c r="I152" s="190"/>
      <c r="J152" s="295" t="str">
        <f>PTAout!H157</f>
        <v/>
      </c>
      <c r="K152" s="295" t="str">
        <f>PTAout!L157</f>
        <v/>
      </c>
      <c r="L152" s="295" t="str">
        <f>PTAout!Q157</f>
        <v/>
      </c>
      <c r="M152" s="295" t="str">
        <f>PTAout!V157</f>
        <v/>
      </c>
      <c r="N152" s="295" t="str">
        <f>PTAout!AA157</f>
        <v/>
      </c>
      <c r="O152" s="295" t="str">
        <f>PTAout!AF157</f>
        <v/>
      </c>
      <c r="P152" s="301"/>
      <c r="Q152" s="635"/>
      <c r="R152" s="635"/>
      <c r="S152" s="635"/>
      <c r="T152" s="635"/>
      <c r="U152" s="646"/>
      <c r="V152" s="31"/>
      <c r="W152" s="29"/>
      <c r="X152" s="29"/>
      <c r="Y152" s="29"/>
      <c r="Z152" s="29"/>
    </row>
    <row r="153" spans="2:26" ht="15" customHeight="1">
      <c r="B153" s="33"/>
      <c r="C153" s="62" t="str">
        <f>PTAout!C158</f>
        <v>Sitting (outdoor cafe)</v>
      </c>
      <c r="D153" s="47"/>
      <c r="E153" s="47"/>
      <c r="F153" s="223"/>
      <c r="G153" s="652"/>
      <c r="H153" s="652"/>
      <c r="I153" s="652"/>
      <c r="J153" s="423"/>
      <c r="K153" s="423"/>
      <c r="L153" s="423"/>
      <c r="M153" s="423"/>
      <c r="N153" s="423"/>
      <c r="O153" s="423"/>
      <c r="P153" s="76"/>
      <c r="Q153" s="644"/>
      <c r="R153" s="644"/>
      <c r="S153" s="644"/>
      <c r="T153" s="644"/>
      <c r="U153" s="638"/>
      <c r="V153" s="31"/>
      <c r="W153" s="29"/>
      <c r="X153" s="29"/>
      <c r="Y153" s="29"/>
      <c r="Z153" s="29"/>
    </row>
    <row r="154" spans="2:26" ht="15" customHeight="1">
      <c r="B154" s="33"/>
      <c r="D154" s="187" t="str">
        <f>PTAout!D159</f>
        <v>Space</v>
      </c>
      <c r="E154" s="47"/>
      <c r="F154" s="190" t="str">
        <f>PTAout!F159</f>
        <v>Width available</v>
      </c>
      <c r="G154" s="190"/>
      <c r="H154" s="190"/>
      <c r="I154" s="190"/>
      <c r="J154" s="270" t="str">
        <f>PTAout!H159</f>
        <v/>
      </c>
      <c r="K154" s="270" t="str">
        <f>PTAout!L159</f>
        <v/>
      </c>
      <c r="L154" s="270" t="str">
        <f>PTAout!Q159</f>
        <v/>
      </c>
      <c r="M154" s="270" t="str">
        <f>PTAout!V159</f>
        <v/>
      </c>
      <c r="N154" s="270" t="str">
        <f>PTAout!AA159</f>
        <v/>
      </c>
      <c r="O154" s="270" t="str">
        <f>PTAout!AF159</f>
        <v/>
      </c>
      <c r="P154" s="198"/>
      <c r="Q154" s="640"/>
      <c r="R154" s="640"/>
      <c r="S154" s="640"/>
      <c r="T154" s="640"/>
      <c r="U154" s="645"/>
      <c r="V154" s="31"/>
      <c r="W154" s="29"/>
      <c r="X154" s="29"/>
      <c r="Y154" s="29"/>
      <c r="Z154" s="29"/>
    </row>
    <row r="155" spans="2:26" ht="15" customHeight="1">
      <c r="B155" s="33"/>
      <c r="D155" s="47" t="str">
        <f>PTAout!D160</f>
        <v>Number of activities</v>
      </c>
      <c r="E155" s="47"/>
      <c r="F155" s="190" t="str">
        <f>PTAout!F160</f>
        <v/>
      </c>
      <c r="G155" s="190"/>
      <c r="H155" s="190"/>
      <c r="I155" s="190"/>
      <c r="J155" s="270" t="str">
        <f>PTAout!H160</f>
        <v/>
      </c>
      <c r="K155" s="270" t="str">
        <f>PTAout!L160</f>
        <v/>
      </c>
      <c r="L155" s="270" t="str">
        <f>PTAout!Q160</f>
        <v/>
      </c>
      <c r="M155" s="270" t="str">
        <f>PTAout!V160</f>
        <v/>
      </c>
      <c r="N155" s="270" t="str">
        <f>PTAout!AA160</f>
        <v/>
      </c>
      <c r="O155" s="270" t="str">
        <f>PTAout!AF160</f>
        <v/>
      </c>
      <c r="P155" s="199"/>
      <c r="Q155" s="193"/>
      <c r="R155" s="193"/>
      <c r="S155" s="193"/>
      <c r="T155" s="193"/>
      <c r="U155" s="645"/>
      <c r="V155" s="31"/>
      <c r="W155" s="29"/>
      <c r="X155" s="29"/>
      <c r="Y155" s="29"/>
      <c r="Z155" s="29"/>
    </row>
    <row r="156" spans="2:26" ht="15" customHeight="1">
      <c r="B156" s="33"/>
      <c r="D156" s="47" t="str">
        <f>PTAout!D161</f>
        <v>Duration</v>
      </c>
      <c r="E156" s="47"/>
      <c r="F156" s="190" t="str">
        <f>PTAout!F161</f>
        <v/>
      </c>
      <c r="G156" s="190"/>
      <c r="H156" s="190"/>
      <c r="I156" s="190"/>
      <c r="J156" s="270" t="str">
        <f>PTAout!H161</f>
        <v/>
      </c>
      <c r="K156" s="270" t="str">
        <f>PTAout!L161</f>
        <v/>
      </c>
      <c r="L156" s="270" t="str">
        <f>PTAout!Q161</f>
        <v/>
      </c>
      <c r="M156" s="270" t="str">
        <f>PTAout!V161</f>
        <v/>
      </c>
      <c r="N156" s="270" t="str">
        <f>PTAout!AA161</f>
        <v/>
      </c>
      <c r="O156" s="270" t="str">
        <f>PTAout!AF161</f>
        <v/>
      </c>
      <c r="P156" s="199"/>
      <c r="Q156" s="193"/>
      <c r="R156" s="193"/>
      <c r="S156" s="193"/>
      <c r="T156" s="193"/>
      <c r="U156" s="645"/>
      <c r="V156" s="31"/>
      <c r="W156" s="29"/>
      <c r="X156" s="29"/>
      <c r="Y156" s="29"/>
      <c r="Z156" s="29"/>
    </row>
    <row r="157" spans="2:26" ht="15" customHeight="1">
      <c r="B157" s="33"/>
      <c r="C157" s="59"/>
      <c r="D157" s="85" t="str">
        <f>PTAout!D162</f>
        <v>Quality</v>
      </c>
      <c r="E157" s="85"/>
      <c r="F157" s="294" t="str">
        <f>PTAout!F162</f>
        <v/>
      </c>
      <c r="G157" s="294"/>
      <c r="H157" s="294"/>
      <c r="I157" s="190"/>
      <c r="J157" s="295" t="str">
        <f>PTAout!H162</f>
        <v/>
      </c>
      <c r="K157" s="295" t="str">
        <f>PTAout!L162</f>
        <v/>
      </c>
      <c r="L157" s="295" t="str">
        <f>PTAout!Q162</f>
        <v/>
      </c>
      <c r="M157" s="295" t="str">
        <f>PTAout!V162</f>
        <v/>
      </c>
      <c r="N157" s="295" t="str">
        <f>PTAout!AA162</f>
        <v/>
      </c>
      <c r="O157" s="295" t="str">
        <f>PTAout!AF162</f>
        <v/>
      </c>
      <c r="P157" s="301"/>
      <c r="Q157" s="635"/>
      <c r="R157" s="635"/>
      <c r="S157" s="635"/>
      <c r="T157" s="635"/>
      <c r="U157" s="646"/>
      <c r="V157" s="31"/>
      <c r="W157" s="29"/>
      <c r="X157" s="29"/>
      <c r="Y157" s="29"/>
      <c r="Z157" s="29"/>
    </row>
    <row r="158" spans="2:26" ht="15" customHeight="1">
      <c r="B158" s="33"/>
      <c r="D158" s="47"/>
      <c r="E158" s="47"/>
      <c r="F158" s="223"/>
      <c r="G158" s="652"/>
      <c r="H158" s="652"/>
      <c r="I158" s="652"/>
      <c r="J158" s="421"/>
      <c r="K158" s="421"/>
      <c r="L158" s="421"/>
      <c r="M158" s="421"/>
      <c r="N158" s="421"/>
      <c r="O158" s="421"/>
      <c r="P158" s="400"/>
      <c r="Q158" s="638"/>
      <c r="R158" s="638"/>
      <c r="S158" s="638"/>
      <c r="T158" s="638"/>
      <c r="U158" s="638"/>
      <c r="V158" s="31"/>
      <c r="W158" s="29"/>
      <c r="X158" s="29"/>
      <c r="Y158" s="29"/>
      <c r="Z158" s="29"/>
    </row>
    <row r="159" spans="2:26" ht="15" customHeight="1">
      <c r="B159" s="33"/>
      <c r="C159" s="201" t="s">
        <v>109</v>
      </c>
      <c r="D159" s="85"/>
      <c r="E159" s="85"/>
      <c r="F159" s="224"/>
      <c r="G159" s="653"/>
      <c r="H159" s="653"/>
      <c r="I159" s="652"/>
      <c r="J159" s="422"/>
      <c r="K159" s="422"/>
      <c r="L159" s="422"/>
      <c r="M159" s="422"/>
      <c r="N159" s="422"/>
      <c r="O159" s="422"/>
      <c r="P159" s="401"/>
      <c r="Q159" s="639"/>
      <c r="R159" s="639"/>
      <c r="S159" s="639"/>
      <c r="T159" s="639"/>
      <c r="U159" s="639"/>
      <c r="V159" s="31"/>
      <c r="W159" s="29"/>
      <c r="X159" s="29"/>
      <c r="Y159" s="29"/>
      <c r="Z159" s="29"/>
    </row>
    <row r="160" spans="2:26" ht="15" customHeight="1">
      <c r="B160" s="34"/>
      <c r="C160" s="62" t="str">
        <f>PTAout!C165</f>
        <v>Economic</v>
      </c>
      <c r="D160" s="62"/>
      <c r="E160" s="62"/>
      <c r="F160" s="52"/>
      <c r="G160" s="52"/>
      <c r="H160" s="52"/>
      <c r="I160" s="67"/>
      <c r="J160" s="424"/>
      <c r="K160" s="418"/>
      <c r="L160" s="418"/>
      <c r="M160" s="418"/>
      <c r="N160" s="418"/>
      <c r="O160" s="418"/>
      <c r="P160" s="52"/>
      <c r="Q160" s="647"/>
      <c r="R160" s="647"/>
      <c r="S160" s="647"/>
      <c r="T160" s="647"/>
      <c r="U160" s="634"/>
      <c r="V160" s="36"/>
      <c r="W160" s="29"/>
      <c r="X160" s="29"/>
      <c r="Y160" s="29"/>
      <c r="Z160" s="29"/>
    </row>
    <row r="161" spans="2:26" ht="15" customHeight="1">
      <c r="B161" s="30"/>
      <c r="D161" s="187" t="str">
        <f>PTAout!D166</f>
        <v>Costs of transport</v>
      </c>
      <c r="E161" s="47"/>
      <c r="F161" s="190" t="str">
        <f>PTAout!F166</f>
        <v/>
      </c>
      <c r="G161" s="190"/>
      <c r="H161" s="190"/>
      <c r="I161" s="190"/>
      <c r="J161" s="399" t="str">
        <f>PTAout!H166</f>
        <v/>
      </c>
      <c r="K161" s="399" t="str">
        <f>PTAout!L166</f>
        <v/>
      </c>
      <c r="L161" s="399" t="str">
        <f>PTAout!Q166</f>
        <v/>
      </c>
      <c r="M161" s="399" t="str">
        <f>PTAout!V166</f>
        <v/>
      </c>
      <c r="N161" s="399" t="str">
        <f>PTAout!AA166</f>
        <v/>
      </c>
      <c r="O161" s="399" t="str">
        <f>PTAout!AF166</f>
        <v/>
      </c>
      <c r="P161" s="45"/>
      <c r="Q161" s="193"/>
      <c r="R161" s="193"/>
      <c r="S161" s="193"/>
      <c r="T161" s="193"/>
      <c r="U161" s="634"/>
      <c r="V161" s="31"/>
      <c r="W161" s="29"/>
      <c r="X161" s="29"/>
      <c r="Y161" s="29"/>
      <c r="Z161" s="29"/>
    </row>
    <row r="162" spans="2:26" ht="15" customHeight="1">
      <c r="B162" s="30"/>
      <c r="D162" s="187" t="str">
        <f>PTAout!D167</f>
        <v>Property values</v>
      </c>
      <c r="E162" s="47"/>
      <c r="F162" s="190" t="str">
        <f>PTAout!F167</f>
        <v/>
      </c>
      <c r="G162" s="190"/>
      <c r="H162" s="190"/>
      <c r="I162" s="190"/>
      <c r="J162" s="282" t="str">
        <f>PTAout!H167</f>
        <v/>
      </c>
      <c r="K162" s="397" t="str">
        <f>PTAout!L167</f>
        <v/>
      </c>
      <c r="L162" s="397" t="str">
        <f>PTAout!Q167</f>
        <v/>
      </c>
      <c r="M162" s="397" t="str">
        <f>PTAout!V167</f>
        <v/>
      </c>
      <c r="N162" s="397" t="str">
        <f>PTAout!AA167</f>
        <v/>
      </c>
      <c r="O162" s="397" t="str">
        <f>PTAout!AF167</f>
        <v/>
      </c>
      <c r="P162" s="45"/>
      <c r="Q162" s="193"/>
      <c r="R162" s="193"/>
      <c r="S162" s="193"/>
      <c r="T162" s="193"/>
      <c r="U162" s="193"/>
      <c r="V162" s="31"/>
      <c r="W162" s="29"/>
      <c r="X162" s="29"/>
      <c r="Y162" s="29"/>
      <c r="Z162" s="29"/>
    </row>
    <row r="163" spans="2:26" ht="15" customHeight="1">
      <c r="B163" s="30"/>
      <c r="D163" s="187" t="str">
        <f>PTAout!D168</f>
        <v>Visits to local businesses</v>
      </c>
      <c r="E163" s="47"/>
      <c r="F163" s="190" t="str">
        <f>PTAout!F168</f>
        <v/>
      </c>
      <c r="G163" s="190"/>
      <c r="H163" s="190"/>
      <c r="I163" s="190"/>
      <c r="J163" s="399" t="str">
        <f>PTAout!H168</f>
        <v/>
      </c>
      <c r="K163" s="413" t="str">
        <f>PTAout!L168</f>
        <v/>
      </c>
      <c r="L163" s="413" t="str">
        <f>PTAout!Q168</f>
        <v/>
      </c>
      <c r="M163" s="413" t="str">
        <f>PTAout!V168</f>
        <v/>
      </c>
      <c r="N163" s="413" t="str">
        <f>PTAout!AA168</f>
        <v/>
      </c>
      <c r="O163" s="413" t="str">
        <f>PTAout!AF168</f>
        <v/>
      </c>
      <c r="P163" s="45"/>
      <c r="Q163" s="193"/>
      <c r="R163" s="193"/>
      <c r="S163" s="193"/>
      <c r="T163" s="193"/>
      <c r="U163" s="193"/>
      <c r="V163" s="31"/>
      <c r="W163" s="29"/>
      <c r="X163" s="29"/>
      <c r="Y163" s="29"/>
      <c r="Z163" s="29"/>
    </row>
    <row r="164" spans="2:26" ht="15" customHeight="1">
      <c r="B164" s="30"/>
      <c r="C164" s="59"/>
      <c r="D164" s="403" t="str">
        <f>PTAout!D169</f>
        <v>Expenditure in local businesses</v>
      </c>
      <c r="E164" s="85"/>
      <c r="F164" s="294" t="str">
        <f>PTAout!F169</f>
        <v/>
      </c>
      <c r="G164" s="294"/>
      <c r="H164" s="294"/>
      <c r="I164" s="190"/>
      <c r="J164" s="726" t="str">
        <f>PTAout!H169</f>
        <v/>
      </c>
      <c r="K164" s="726" t="str">
        <f>PTAout!L169</f>
        <v/>
      </c>
      <c r="L164" s="726" t="str">
        <f>PTAout!Q169</f>
        <v/>
      </c>
      <c r="M164" s="726" t="str">
        <f>PTAout!V169</f>
        <v/>
      </c>
      <c r="N164" s="726" t="str">
        <f>PTAout!AA169</f>
        <v/>
      </c>
      <c r="O164" s="726" t="str">
        <f>PTAout!AF169</f>
        <v/>
      </c>
      <c r="P164" s="727"/>
      <c r="Q164" s="728"/>
      <c r="R164" s="728"/>
      <c r="S164" s="728"/>
      <c r="T164" s="728"/>
      <c r="U164" s="729"/>
      <c r="V164" s="31"/>
      <c r="W164" s="29"/>
      <c r="X164" s="29"/>
      <c r="Y164" s="29"/>
      <c r="Z164" s="29"/>
    </row>
    <row r="165" spans="2:26" ht="16.5" customHeight="1">
      <c r="B165" s="34"/>
      <c r="C165" s="62" t="str">
        <f>PTAout!C170</f>
        <v>Social</v>
      </c>
      <c r="D165" s="62"/>
      <c r="E165" s="62"/>
      <c r="F165" s="52"/>
      <c r="G165" s="52"/>
      <c r="H165" s="52"/>
      <c r="I165" s="67"/>
      <c r="J165" s="424"/>
      <c r="K165" s="418"/>
      <c r="L165" s="418"/>
      <c r="M165" s="418"/>
      <c r="N165" s="418"/>
      <c r="O165" s="418"/>
      <c r="P165" s="52"/>
      <c r="Q165" s="647"/>
      <c r="R165" s="647"/>
      <c r="S165" s="647"/>
      <c r="T165" s="647"/>
      <c r="U165" s="634"/>
      <c r="V165" s="36"/>
      <c r="W165" s="29"/>
      <c r="X165" s="29"/>
      <c r="Y165" s="29"/>
      <c r="Z165" s="29"/>
    </row>
    <row r="166" spans="2:26" ht="16.5" customHeight="1">
      <c r="B166" s="34"/>
      <c r="C166" s="62"/>
      <c r="D166" s="187" t="str">
        <f>PTAout!D171</f>
        <v>Traffic safety (fatalities)</v>
      </c>
      <c r="E166" s="187"/>
      <c r="F166" s="190" t="str">
        <f>PTAout!F171</f>
        <v/>
      </c>
      <c r="G166" s="730" t="str">
        <f>IF(CBAin!P70&lt;&gt;"",CBAin!P70,IF(CBAin!M70&lt;&gt;"",CBAin!M70,""))</f>
        <v/>
      </c>
      <c r="H166" s="190" t="str">
        <f>IF(CBAin!O70&lt;&gt;"",CBAin!O70,IF(CBAin!L70&lt;&gt;"",CBAin!L70,""))</f>
        <v/>
      </c>
      <c r="I166" s="190"/>
      <c r="J166" s="414" t="str">
        <f>PTAout!H171</f>
        <v/>
      </c>
      <c r="K166" s="399" t="str">
        <f>PTAout!L171</f>
        <v/>
      </c>
      <c r="L166" s="399" t="str">
        <f>PTAout!Q171</f>
        <v/>
      </c>
      <c r="M166" s="399" t="str">
        <f>PTAout!V171</f>
        <v/>
      </c>
      <c r="N166" s="399" t="str">
        <f>PTAout!AA171</f>
        <v/>
      </c>
      <c r="O166" s="399" t="str">
        <f>PTAout!AF171</f>
        <v/>
      </c>
      <c r="P166" s="52"/>
      <c r="Q166" s="679" t="str">
        <f t="shared" ref="Q166:U169" si="2">IF(OR(years="",$G166="",K166="",$J166=""),"",-years*$G166*(K166-$J166))</f>
        <v/>
      </c>
      <c r="R166" s="679" t="str">
        <f t="shared" si="2"/>
        <v/>
      </c>
      <c r="S166" s="679" t="str">
        <f t="shared" si="2"/>
        <v/>
      </c>
      <c r="T166" s="679" t="str">
        <f t="shared" si="2"/>
        <v/>
      </c>
      <c r="U166" s="679" t="str">
        <f t="shared" si="2"/>
        <v/>
      </c>
      <c r="V166" s="36"/>
      <c r="W166" s="29"/>
      <c r="X166" s="29"/>
      <c r="Y166" s="29"/>
      <c r="Z166" s="29"/>
    </row>
    <row r="167" spans="2:26" ht="16.5" customHeight="1">
      <c r="B167" s="34"/>
      <c r="C167" s="62"/>
      <c r="D167" s="187" t="str">
        <f>PTAout!D172</f>
        <v>Traffic safety (seriousinjuries)</v>
      </c>
      <c r="E167" s="187"/>
      <c r="F167" s="190" t="str">
        <f>PTAout!F172</f>
        <v/>
      </c>
      <c r="G167" s="730" t="str">
        <f>IF(CBAin!P71&lt;&gt;"",CBAin!P71,IF(CBAin!M71&lt;&gt;"",CBAin!M71,""))</f>
        <v/>
      </c>
      <c r="H167" s="190" t="str">
        <f>IF(CBAin!O71&lt;&gt;"",CBAin!O71,IF(CBAin!L71&lt;&gt;"",CBAin!L71,""))</f>
        <v/>
      </c>
      <c r="I167" s="190"/>
      <c r="J167" s="414" t="str">
        <f>PTAout!H172</f>
        <v/>
      </c>
      <c r="K167" s="563" t="str">
        <f>PTAout!L172</f>
        <v/>
      </c>
      <c r="L167" s="563" t="str">
        <f>PTAout!Q172</f>
        <v/>
      </c>
      <c r="M167" s="563" t="str">
        <f>PTAout!V172</f>
        <v/>
      </c>
      <c r="N167" s="563" t="str">
        <f>PTAout!AA172</f>
        <v/>
      </c>
      <c r="O167" s="563" t="str">
        <f>PTAout!AF172</f>
        <v/>
      </c>
      <c r="P167" s="52"/>
      <c r="Q167" s="679" t="str">
        <f t="shared" si="2"/>
        <v/>
      </c>
      <c r="R167" s="679" t="str">
        <f t="shared" si="2"/>
        <v/>
      </c>
      <c r="S167" s="679" t="str">
        <f t="shared" si="2"/>
        <v/>
      </c>
      <c r="T167" s="679" t="str">
        <f t="shared" si="2"/>
        <v/>
      </c>
      <c r="U167" s="679" t="str">
        <f t="shared" si="2"/>
        <v/>
      </c>
      <c r="V167" s="36"/>
      <c r="W167" s="29"/>
      <c r="X167" s="29"/>
      <c r="Y167" s="29"/>
      <c r="Z167" s="29"/>
    </row>
    <row r="168" spans="2:26" ht="16.5" customHeight="1">
      <c r="B168" s="34"/>
      <c r="C168" s="62"/>
      <c r="D168" s="187" t="str">
        <f>PTAout!D173</f>
        <v>Traffic safety (slight injuries)</v>
      </c>
      <c r="E168" s="187"/>
      <c r="F168" s="190" t="str">
        <f>PTAout!F173</f>
        <v/>
      </c>
      <c r="G168" s="730" t="str">
        <f>IF(CBAin!P72&lt;&gt;"",CBAin!P72,IF(CBAin!M72&lt;&gt;"",CBAin!M72,""))</f>
        <v/>
      </c>
      <c r="H168" s="190" t="str">
        <f>IF(CBAin!O72&lt;&gt;"",CBAin!O72,IF(CBAin!L72&lt;&gt;"",CBAin!L72,""))</f>
        <v/>
      </c>
      <c r="I168" s="190"/>
      <c r="J168" s="414" t="str">
        <f>PTAout!H173</f>
        <v/>
      </c>
      <c r="K168" s="563" t="str">
        <f>PTAout!L173</f>
        <v/>
      </c>
      <c r="L168" s="563" t="str">
        <f>PTAout!Q173</f>
        <v/>
      </c>
      <c r="M168" s="563" t="str">
        <f>PTAout!V173</f>
        <v/>
      </c>
      <c r="N168" s="563" t="str">
        <f>PTAout!AA173</f>
        <v/>
      </c>
      <c r="O168" s="563" t="str">
        <f>PTAout!AF173</f>
        <v/>
      </c>
      <c r="P168" s="52"/>
      <c r="Q168" s="679" t="str">
        <f t="shared" si="2"/>
        <v/>
      </c>
      <c r="R168" s="679" t="str">
        <f t="shared" si="2"/>
        <v/>
      </c>
      <c r="S168" s="679" t="str">
        <f t="shared" si="2"/>
        <v/>
      </c>
      <c r="T168" s="679" t="str">
        <f t="shared" si="2"/>
        <v/>
      </c>
      <c r="U168" s="679" t="str">
        <f t="shared" si="2"/>
        <v/>
      </c>
      <c r="V168" s="36"/>
      <c r="W168" s="29"/>
      <c r="X168" s="29"/>
      <c r="Y168" s="29"/>
      <c r="Z168" s="29"/>
    </row>
    <row r="169" spans="2:26" ht="16.5" customHeight="1">
      <c r="B169" s="34"/>
      <c r="C169" s="62"/>
      <c r="D169" s="187" t="str">
        <f>PTAout!D174</f>
        <v>Traffic safety (property damage)</v>
      </c>
      <c r="E169" s="187"/>
      <c r="F169" s="190" t="str">
        <f>PTAout!F174</f>
        <v/>
      </c>
      <c r="G169" s="730" t="str">
        <f>IF(CBAin!P73&lt;&gt;"",CBAin!P73,IF(CBAin!M73&lt;&gt;"",CBAin!M73,""))</f>
        <v/>
      </c>
      <c r="H169" s="190" t="str">
        <f>IF(CBAin!O73&lt;&gt;"",CBAin!O73,IF(CBAin!L73&lt;&gt;"",CBAin!L73,""))</f>
        <v/>
      </c>
      <c r="I169" s="190"/>
      <c r="J169" s="414" t="str">
        <f>PTAout!H174</f>
        <v/>
      </c>
      <c r="K169" s="563" t="str">
        <f>PTAout!L174</f>
        <v/>
      </c>
      <c r="L169" s="563" t="str">
        <f>PTAout!Q174</f>
        <v/>
      </c>
      <c r="M169" s="563" t="str">
        <f>PTAout!V174</f>
        <v/>
      </c>
      <c r="N169" s="563" t="str">
        <f>PTAout!AA174</f>
        <v/>
      </c>
      <c r="O169" s="563" t="str">
        <f>PTAout!AF174</f>
        <v/>
      </c>
      <c r="P169" s="52"/>
      <c r="Q169" s="679" t="str">
        <f t="shared" si="2"/>
        <v/>
      </c>
      <c r="R169" s="679" t="str">
        <f t="shared" si="2"/>
        <v/>
      </c>
      <c r="S169" s="679" t="str">
        <f t="shared" si="2"/>
        <v/>
      </c>
      <c r="T169" s="679" t="str">
        <f t="shared" si="2"/>
        <v/>
      </c>
      <c r="U169" s="679" t="str">
        <f t="shared" si="2"/>
        <v/>
      </c>
      <c r="V169" s="36"/>
      <c r="W169" s="29"/>
      <c r="X169" s="29"/>
      <c r="Y169" s="29"/>
      <c r="Z169" s="29"/>
    </row>
    <row r="170" spans="2:26" ht="15" customHeight="1">
      <c r="B170" s="30"/>
      <c r="D170" s="187" t="str">
        <f>PTAout!D175</f>
        <v>Community severance</v>
      </c>
      <c r="E170" s="47"/>
      <c r="F170" s="190" t="str">
        <f>PTAout!F175</f>
        <v>UCL Severance Index</v>
      </c>
      <c r="G170" s="694" t="s">
        <v>555</v>
      </c>
      <c r="H170" s="694" t="s">
        <v>556</v>
      </c>
      <c r="I170" s="190"/>
      <c r="J170" s="725" t="str">
        <f>PTAout!H175</f>
        <v/>
      </c>
      <c r="K170" s="725" t="str">
        <f>PTAout!L175</f>
        <v/>
      </c>
      <c r="L170" s="725" t="str">
        <f>PTAout!Q175</f>
        <v/>
      </c>
      <c r="M170" s="725" t="str">
        <f>PTAout!V175</f>
        <v/>
      </c>
      <c r="N170" s="725" t="str">
        <f>PTAout!AA175</f>
        <v/>
      </c>
      <c r="O170" s="399" t="str">
        <f>PTAout!AF175</f>
        <v/>
      </c>
      <c r="P170" s="45"/>
      <c r="Q170" s="679" t="str">
        <f>IF(OR(years="",code0="",code1=""),"",years*365*16*peds0*VLOOKUP(currency,comsev_values,2,0)-years*365*16*peds1*VLOOKUP(currency,comsev_values,3,0))</f>
        <v/>
      </c>
      <c r="R170" s="679" t="str">
        <f>IF(OR(years="",code0="",code2=""),"",years*365*16*peds0*VLOOKUP(currency,comsev_values,2,0)-years*365*16*peds2*VLOOKUP(currency,comsev_values,4,0))</f>
        <v/>
      </c>
      <c r="S170" s="679" t="str">
        <f>IF(OR(years="",code0="",code3=""),"",years*365*16*peds0*VLOOKUP(currency,comsev_values,2,0)-years*365*16*peds3*VLOOKUP(currency,comsev_values,5,0))</f>
        <v/>
      </c>
      <c r="T170" s="679" t="str">
        <f>IF(OR(years="",code0="",code4=""),"",years*365*16*peds0*VLOOKUP(currency,comsev_values,2,0)-years*365*16*peds4*VLOOKUP(currency,comsev_values,6,0))</f>
        <v/>
      </c>
      <c r="U170" s="679" t="str">
        <f>IF(OR(years="",code0="",code5=""),"",years*365*16*peds0*VLOOKUP(currency,comsev_values,2,0)-years*365*16*peds5*VLOOKUP(currency,comsev_values,7,0))</f>
        <v/>
      </c>
      <c r="V170" s="31"/>
      <c r="W170" s="29"/>
      <c r="X170" s="29"/>
      <c r="Y170" s="29"/>
      <c r="Z170" s="29"/>
    </row>
    <row r="171" spans="2:26" ht="15" customHeight="1">
      <c r="B171" s="30"/>
      <c r="D171" s="187" t="str">
        <f>PTAout!D176</f>
        <v>Personal security</v>
      </c>
      <c r="E171" s="47"/>
      <c r="F171" s="190" t="str">
        <f>PTAout!F176</f>
        <v/>
      </c>
      <c r="G171" s="190"/>
      <c r="H171" s="190"/>
      <c r="I171" s="190"/>
      <c r="J171" s="399" t="str">
        <f>PTAout!H176</f>
        <v/>
      </c>
      <c r="K171" s="399" t="str">
        <f>PTAout!L176</f>
        <v/>
      </c>
      <c r="L171" s="399" t="str">
        <f>PTAout!Q176</f>
        <v/>
      </c>
      <c r="M171" s="399" t="str">
        <f>PTAout!V176</f>
        <v/>
      </c>
      <c r="N171" s="399" t="str">
        <f>PTAout!AA176</f>
        <v/>
      </c>
      <c r="O171" s="399" t="str">
        <f>PTAout!AF176</f>
        <v/>
      </c>
      <c r="P171" s="45"/>
      <c r="Q171" s="648"/>
      <c r="R171" s="648"/>
      <c r="S171" s="648"/>
      <c r="T171" s="648"/>
      <c r="U171" s="634"/>
      <c r="V171" s="31"/>
      <c r="W171" s="29"/>
      <c r="X171" s="29"/>
      <c r="Y171" s="29"/>
      <c r="Z171" s="29"/>
    </row>
    <row r="172" spans="2:26" ht="15" customHeight="1">
      <c r="B172" s="30"/>
      <c r="D172" s="187" t="str">
        <f>PTAout!D177</f>
        <v>Physical activity</v>
      </c>
      <c r="E172" s="47"/>
      <c r="F172" s="190" t="str">
        <f>PTAout!F177</f>
        <v/>
      </c>
      <c r="G172" s="190"/>
      <c r="H172" s="190"/>
      <c r="I172" s="190"/>
      <c r="J172" s="399" t="str">
        <f>PTAout!H177</f>
        <v/>
      </c>
      <c r="K172" s="399" t="str">
        <f>PTAout!L177</f>
        <v/>
      </c>
      <c r="L172" s="399" t="str">
        <f>PTAout!Q177</f>
        <v/>
      </c>
      <c r="M172" s="399" t="str">
        <f>PTAout!V177</f>
        <v/>
      </c>
      <c r="N172" s="399" t="str">
        <f>PTAout!AA177</f>
        <v/>
      </c>
      <c r="O172" s="399" t="str">
        <f>PTAout!AF177</f>
        <v/>
      </c>
      <c r="P172" s="45"/>
      <c r="Q172" s="193"/>
      <c r="R172" s="193"/>
      <c r="S172" s="193"/>
      <c r="T172" s="193"/>
      <c r="U172" s="634"/>
      <c r="V172" s="31"/>
      <c r="W172" s="29"/>
      <c r="X172" s="29"/>
      <c r="Y172" s="29"/>
      <c r="Z172" s="29"/>
    </row>
    <row r="173" spans="2:26" ht="15" customHeight="1">
      <c r="B173" s="30"/>
      <c r="D173" s="187" t="str">
        <f>PTAout!D178</f>
        <v>Social interaction</v>
      </c>
      <c r="E173" s="47"/>
      <c r="F173" s="190" t="str">
        <f>PTAout!F178</f>
        <v/>
      </c>
      <c r="G173" s="190"/>
      <c r="H173" s="190"/>
      <c r="I173" s="190"/>
      <c r="J173" s="399" t="str">
        <f>PTAout!H178</f>
        <v/>
      </c>
      <c r="K173" s="399" t="str">
        <f>PTAout!L178</f>
        <v/>
      </c>
      <c r="L173" s="399" t="str">
        <f>PTAout!Q178</f>
        <v/>
      </c>
      <c r="M173" s="399" t="str">
        <f>PTAout!V178</f>
        <v/>
      </c>
      <c r="N173" s="399" t="str">
        <f>PTAout!AA178</f>
        <v/>
      </c>
      <c r="O173" s="399" t="str">
        <f>PTAout!AF178</f>
        <v/>
      </c>
      <c r="P173" s="45"/>
      <c r="Q173" s="193"/>
      <c r="R173" s="193"/>
      <c r="S173" s="193"/>
      <c r="T173" s="193"/>
      <c r="U173" s="634"/>
      <c r="V173" s="31"/>
      <c r="W173" s="29"/>
      <c r="X173" s="29"/>
      <c r="Y173" s="29"/>
      <c r="Z173" s="29"/>
    </row>
    <row r="174" spans="2:26" ht="15" customHeight="1">
      <c r="B174" s="30"/>
      <c r="C174" s="29"/>
      <c r="D174" s="187" t="str">
        <f>PTAout!D179</f>
        <v>Inclusion (pedestrians with disabilities)</v>
      </c>
      <c r="E174" s="47"/>
      <c r="F174" s="190" t="str">
        <f>PTAout!F179</f>
        <v>Provision for pedestrians with disabilities</v>
      </c>
      <c r="G174" s="190"/>
      <c r="H174" s="190"/>
      <c r="I174" s="190"/>
      <c r="J174" s="399" t="str">
        <f>PTAout!H179</f>
        <v/>
      </c>
      <c r="K174" s="399" t="str">
        <f>PTAout!L179</f>
        <v/>
      </c>
      <c r="L174" s="399" t="str">
        <f>PTAout!Q179</f>
        <v/>
      </c>
      <c r="M174" s="399" t="str">
        <f>PTAout!V179</f>
        <v/>
      </c>
      <c r="N174" s="399" t="str">
        <f>PTAout!AA179</f>
        <v/>
      </c>
      <c r="O174" s="399" t="str">
        <f>PTAout!AF179</f>
        <v/>
      </c>
      <c r="P174" s="45"/>
      <c r="Q174" s="193"/>
      <c r="R174" s="193"/>
      <c r="S174" s="193"/>
      <c r="T174" s="193"/>
      <c r="U174" s="634"/>
      <c r="V174" s="31"/>
      <c r="W174" s="29"/>
      <c r="X174" s="29"/>
      <c r="Y174" s="29"/>
      <c r="Z174" s="29"/>
    </row>
    <row r="175" spans="2:26" ht="15" customHeight="1">
      <c r="B175" s="30"/>
      <c r="C175" s="59"/>
      <c r="D175" s="403" t="str">
        <f>PTAout!D180</f>
        <v>Wellbeing</v>
      </c>
      <c r="E175" s="85"/>
      <c r="F175" s="294" t="str">
        <f>PTAout!F180</f>
        <v/>
      </c>
      <c r="G175" s="294"/>
      <c r="H175" s="294"/>
      <c r="I175" s="190"/>
      <c r="J175" s="302" t="str">
        <f>PTAout!H180</f>
        <v/>
      </c>
      <c r="K175" s="302" t="str">
        <f>PTAout!L180</f>
        <v/>
      </c>
      <c r="L175" s="302" t="str">
        <f>PTAout!Q180</f>
        <v/>
      </c>
      <c r="M175" s="302" t="str">
        <f>PTAout!V180</f>
        <v/>
      </c>
      <c r="N175" s="302" t="str">
        <f>PTAout!AA180</f>
        <v/>
      </c>
      <c r="O175" s="302" t="str">
        <f>PTAout!AF180</f>
        <v/>
      </c>
      <c r="P175" s="91"/>
      <c r="Q175" s="635"/>
      <c r="R175" s="635"/>
      <c r="S175" s="635"/>
      <c r="T175" s="635"/>
      <c r="U175" s="636"/>
      <c r="V175" s="31"/>
      <c r="W175" s="29"/>
      <c r="X175" s="29"/>
      <c r="Y175" s="29"/>
      <c r="Z175" s="29"/>
    </row>
    <row r="176" spans="2:26" ht="15" customHeight="1">
      <c r="B176" s="30"/>
      <c r="C176" s="62" t="str">
        <f>PTAout!C181</f>
        <v>Environmental</v>
      </c>
      <c r="D176" s="47"/>
      <c r="E176" s="47"/>
      <c r="F176" s="190"/>
      <c r="G176" s="190"/>
      <c r="H176" s="190"/>
      <c r="I176" s="190"/>
      <c r="J176" s="399"/>
      <c r="K176" s="399"/>
      <c r="L176" s="399"/>
      <c r="M176" s="399"/>
      <c r="N176" s="399"/>
      <c r="O176" s="399"/>
      <c r="P176" s="45"/>
      <c r="Q176" s="193"/>
      <c r="R176" s="193"/>
      <c r="S176" s="193"/>
      <c r="T176" s="193"/>
      <c r="U176" s="634"/>
      <c r="V176" s="31"/>
      <c r="W176" s="29"/>
      <c r="X176" s="29"/>
      <c r="Y176" s="29"/>
      <c r="Z176" s="29"/>
    </row>
    <row r="177" spans="2:26" ht="15" customHeight="1">
      <c r="B177" s="30"/>
      <c r="C177" s="72"/>
      <c r="D177" s="187" t="str">
        <f>PTAout!D182</f>
        <v>Green space</v>
      </c>
      <c r="E177" s="47"/>
      <c r="F177" s="190" t="str">
        <f>PTAout!F182</f>
        <v>Area of green space (m2)</v>
      </c>
      <c r="G177" s="190"/>
      <c r="H177" s="190"/>
      <c r="I177" s="190"/>
      <c r="J177" s="399" t="str">
        <f>PTAout!H182</f>
        <v/>
      </c>
      <c r="K177" s="399" t="str">
        <f>PTAout!L182</f>
        <v/>
      </c>
      <c r="L177" s="399" t="str">
        <f>PTAout!Q182</f>
        <v/>
      </c>
      <c r="M177" s="399" t="str">
        <f>PTAout!V182</f>
        <v/>
      </c>
      <c r="N177" s="399" t="str">
        <f>PTAout!AA182</f>
        <v/>
      </c>
      <c r="O177" s="399" t="str">
        <f>PTAout!AF182</f>
        <v/>
      </c>
      <c r="P177" s="45"/>
      <c r="Q177" s="193"/>
      <c r="R177" s="193"/>
      <c r="S177" s="193"/>
      <c r="T177" s="193"/>
      <c r="U177" s="634"/>
      <c r="V177" s="31"/>
      <c r="W177" s="29"/>
      <c r="X177" s="29"/>
      <c r="Y177" s="29"/>
      <c r="Z177" s="29"/>
    </row>
    <row r="178" spans="2:26" ht="15" customHeight="1">
      <c r="B178" s="30"/>
      <c r="C178" s="72"/>
      <c r="D178" s="187" t="str">
        <f>PTAout!D183</f>
        <v>Air pollution (PM10)</v>
      </c>
      <c r="E178" s="47"/>
      <c r="F178" s="190" t="str">
        <f>PTAout!F183</f>
        <v/>
      </c>
      <c r="G178" s="730" t="str">
        <f>IF(CBAin!P82&lt;&gt;"",CBAin!P82,IF(CBAin!M82&lt;&gt;"",CBAin!M82,""))</f>
        <v/>
      </c>
      <c r="H178" s="190" t="str">
        <f>IF(CBAin!O82&lt;&gt;"",CBAin!O82,IF(CBAin!L82&lt;&gt;"",CBAin!L82,""))</f>
        <v/>
      </c>
      <c r="I178" s="190"/>
      <c r="J178" s="399" t="str">
        <f>PTAout!H183</f>
        <v/>
      </c>
      <c r="K178" s="399" t="str">
        <f>PTAout!L183</f>
        <v/>
      </c>
      <c r="L178" s="399" t="str">
        <f>PTAout!Q183</f>
        <v/>
      </c>
      <c r="M178" s="399" t="str">
        <f>PTAout!V183</f>
        <v/>
      </c>
      <c r="N178" s="399" t="str">
        <f>PTAout!AA183</f>
        <v/>
      </c>
      <c r="O178" s="399" t="str">
        <f>PTAout!AF183</f>
        <v/>
      </c>
      <c r="P178" s="45"/>
      <c r="Q178" s="679" t="str">
        <f>IF(OR(years="",$G178="",K178="",$J178=""),"",-$G178*(K178-$J178)*pop*year)</f>
        <v/>
      </c>
      <c r="R178" s="679" t="str">
        <f>IF(OR(years="",$G178="",L178="",$J178=""),"",-$G178*(L178-$J178)*pop*year)</f>
        <v/>
      </c>
      <c r="S178" s="679" t="str">
        <f>IF(OR(years="",$G178="",M178="",$J178=""),"",-$G178*(M178-$J178)*pop*year)</f>
        <v/>
      </c>
      <c r="T178" s="679" t="str">
        <f>IF(OR(years="",$G178="",N178="",$J178=""),"",-$G178*(N178-$J178)*pop*year)</f>
        <v/>
      </c>
      <c r="U178" s="679" t="str">
        <f>IF(OR(years="",$G178="",O178="",$J178=""),"",-$G178*(O178-$J178)*pop*year)</f>
        <v/>
      </c>
      <c r="V178" s="31"/>
      <c r="W178" s="29"/>
      <c r="X178" s="29"/>
      <c r="Y178" s="29"/>
      <c r="Z178" s="29"/>
    </row>
    <row r="179" spans="2:26" ht="15" customHeight="1">
      <c r="B179" s="30"/>
      <c r="C179" s="72"/>
      <c r="D179" s="187" t="str">
        <f>PTAout!D184</f>
        <v>Air pollution (PM2.5)</v>
      </c>
      <c r="E179" s="47"/>
      <c r="F179" s="190" t="str">
        <f>PTAout!F184</f>
        <v/>
      </c>
      <c r="G179" s="730" t="str">
        <f>IF(CBAin!P83&lt;&gt;"",CBAin!P83,IF(CBAin!M83&lt;&gt;"",CBAin!M83,""))</f>
        <v/>
      </c>
      <c r="H179" s="190" t="str">
        <f>IF(CBAin!O83&lt;&gt;"",CBAin!O83,IF(CBAin!L83&lt;&gt;"",CBAin!L83,""))</f>
        <v/>
      </c>
      <c r="I179" s="190"/>
      <c r="J179" s="563" t="str">
        <f>PTAout!H184</f>
        <v/>
      </c>
      <c r="K179" s="563" t="str">
        <f>PTAout!L184</f>
        <v/>
      </c>
      <c r="L179" s="563" t="str">
        <f>PTAout!Q184</f>
        <v/>
      </c>
      <c r="M179" s="563" t="str">
        <f>PTAout!V184</f>
        <v/>
      </c>
      <c r="N179" s="563" t="str">
        <f>PTAout!AA184</f>
        <v/>
      </c>
      <c r="O179" s="563" t="str">
        <f>PTAout!AF184</f>
        <v/>
      </c>
      <c r="P179" s="45"/>
      <c r="Q179" s="679" t="str">
        <f>IF(OR(years="",$G179="",K179="",$J179=""),"",-$G179*(K179-$J179)*pop*year)</f>
        <v/>
      </c>
      <c r="R179" s="679" t="str">
        <f>IF(OR(years="",$G179="",L179="",$J179=""),"",-$G179*(L179-$J179)*pop*year)</f>
        <v/>
      </c>
      <c r="S179" s="679" t="str">
        <f>IF(OR(years="",$G179="",M179="",$J179=""),"",-$G179*(M179-$J179)*pop*year)</f>
        <v/>
      </c>
      <c r="T179" s="679" t="str">
        <f>IF(OR(years="",$G179="",N179="",$J179=""),"",-$G179*(N179-$J179)*pop*year)</f>
        <v/>
      </c>
      <c r="U179" s="679" t="str">
        <f>IF(OR(years="",$G179="",O179="",$J179=""),"",-$G179*(O179-$J179)*pop*year)</f>
        <v/>
      </c>
      <c r="V179" s="31"/>
      <c r="W179" s="29"/>
      <c r="X179" s="29"/>
      <c r="Y179" s="29"/>
      <c r="Z179" s="29"/>
    </row>
    <row r="180" spans="2:26" ht="15" customHeight="1">
      <c r="B180" s="30"/>
      <c r="C180" s="72"/>
      <c r="D180" s="187" t="str">
        <f>PTAout!D185</f>
        <v>Air pollution (No2)</v>
      </c>
      <c r="E180" s="47"/>
      <c r="F180" s="190" t="str">
        <f>PTAout!F185</f>
        <v/>
      </c>
      <c r="G180" s="730" t="str">
        <f>IF(CBAin!P84&lt;&gt;"",CBAin!P84,IF(CBAin!M84&lt;&gt;"",CBAin!M84,""))</f>
        <v/>
      </c>
      <c r="H180" s="190" t="str">
        <f>IF(CBAin!O84&lt;&gt;"",CBAin!O84,IF(CBAin!L84&lt;&gt;"",CBAin!L84,""))</f>
        <v/>
      </c>
      <c r="I180" s="190"/>
      <c r="J180" s="563" t="str">
        <f>PTAout!H185</f>
        <v/>
      </c>
      <c r="K180" s="563" t="str">
        <f>PTAout!L185</f>
        <v/>
      </c>
      <c r="L180" s="563" t="str">
        <f>PTAout!Q185</f>
        <v/>
      </c>
      <c r="M180" s="563" t="str">
        <f>PTAout!V185</f>
        <v/>
      </c>
      <c r="N180" s="563" t="str">
        <f>PTAout!AA185</f>
        <v/>
      </c>
      <c r="O180" s="563" t="str">
        <f>PTAout!AF185</f>
        <v/>
      </c>
      <c r="P180" s="45"/>
      <c r="Q180" s="679" t="str">
        <f>IF(OR(years="",$G180="",K180="",$J180=""),"",-$G180*(K180-$J180)*pop*year)</f>
        <v/>
      </c>
      <c r="R180" s="679" t="str">
        <f>IF(OR(years="",$G180="",L180="",$J180=""),"",-$G180*(L180-$J180)*pop*year)</f>
        <v/>
      </c>
      <c r="S180" s="679" t="str">
        <f>IF(OR(years="",$G180="",M180="",$J180=""),"",-$G180*(M180-$J180)*pop*year)</f>
        <v/>
      </c>
      <c r="T180" s="679" t="str">
        <f>IF(OR(years="",$G180="",N180="",$J180=""),"",-$G180*(N180-$J180)*pop*year)</f>
        <v/>
      </c>
      <c r="U180" s="679" t="str">
        <f>IF(OR(years="",$G180="",O180="",$J180=""),"",-$G180*(O180-$J180)*pop*year)</f>
        <v/>
      </c>
      <c r="V180" s="31"/>
      <c r="W180" s="29"/>
      <c r="X180" s="29"/>
      <c r="Y180" s="29"/>
      <c r="Z180" s="29"/>
    </row>
    <row r="181" spans="2:26" ht="15" customHeight="1">
      <c r="B181" s="30"/>
      <c r="C181" s="72"/>
      <c r="D181" s="187" t="str">
        <f>PTAout!D186</f>
        <v>Noise</v>
      </c>
      <c r="E181" s="47"/>
      <c r="F181" s="190" t="str">
        <f>PTAout!F186</f>
        <v/>
      </c>
      <c r="G181" s="694" t="s">
        <v>555</v>
      </c>
      <c r="H181" s="694" t="s">
        <v>557</v>
      </c>
      <c r="I181" s="190"/>
      <c r="J181" s="399" t="str">
        <f>PTAout!H186</f>
        <v/>
      </c>
      <c r="K181" s="399" t="str">
        <f>PTAout!L186</f>
        <v/>
      </c>
      <c r="L181" s="399" t="str">
        <f>PTAout!Q186</f>
        <v/>
      </c>
      <c r="M181" s="399" t="str">
        <f>PTAout!V186</f>
        <v/>
      </c>
      <c r="N181" s="399" t="str">
        <f>PTAout!AA186</f>
        <v/>
      </c>
      <c r="O181" s="399" t="str">
        <f>PTAout!AF186</f>
        <v/>
      </c>
      <c r="P181" s="45"/>
      <c r="Q181" s="679" t="str">
        <f ca="1">IF(code1="","",pop*(VLOOKUP($J181,INDIRECT("moneydata_noise_"&amp;CBAin!$I$85),VLOOKUP(city,cities_data,4,0)-5,0)-VLOOKUP(K181,INDIRECT("moneydata_noise_"&amp;CBAin!$I$85),VLOOKUP(city,cities_data,4,0)-5,0)))</f>
        <v/>
      </c>
      <c r="R181" s="679" t="str">
        <f ca="1">IF(code2="","",pop*(VLOOKUP($J181,INDIRECT("moneydata_noise_"&amp;CBAin!$I$85),VLOOKUP(city,cities_data,4,0)-5,0)-VLOOKUP(L181,INDIRECT("moneydata_noise_"&amp;CBAin!$I$85),VLOOKUP(city,cities_data,4,0)-5,0)))</f>
        <v/>
      </c>
      <c r="S181" s="679" t="str">
        <f ca="1">IF(code3="","",pop*(VLOOKUP($J181,INDIRECT("moneydata_noise_"&amp;CBAin!$I$85),VLOOKUP(city,cities_data,4,0)-5,0)-VLOOKUP(M181,INDIRECT("moneydata_noise_"&amp;CBAin!$I$85),VLOOKUP(city,cities_data,4,0)-5,0)))</f>
        <v/>
      </c>
      <c r="T181" s="679" t="str">
        <f ca="1">IF(code4="","",pop*(VLOOKUP($J181,INDIRECT("moneydata_noise_"&amp;CBAin!$I$85),VLOOKUP(city,cities_data,4,0)-5,0)-VLOOKUP(N181,INDIRECT("moneydata_noise_"&amp;CBAin!$I$85),VLOOKUP(city,cities_data,4,0)-5,0)))</f>
        <v/>
      </c>
      <c r="U181" s="679" t="str">
        <f ca="1">IF(code5="","",pop*(VLOOKUP($J181,INDIRECT("moneydata_noise_"&amp;CBAin!$I$85),VLOOKUP(city,cities_data,4,0)-5,0)-VLOOKUP(O181,INDIRECT("moneydata_noise_"&amp;CBAin!$I$85),VLOOKUP(city,cities_data,4,0)-5,0)))</f>
        <v/>
      </c>
      <c r="V181" s="31"/>
      <c r="W181" s="29"/>
      <c r="X181" s="29"/>
      <c r="Y181" s="29"/>
      <c r="Z181" s="29"/>
    </row>
    <row r="182" spans="2:26" ht="15" customHeight="1">
      <c r="B182" s="30"/>
      <c r="C182" s="72"/>
      <c r="D182" s="187" t="str">
        <f>PTAout!D187</f>
        <v>Soil and water</v>
      </c>
      <c r="E182" s="47"/>
      <c r="F182" s="190" t="str">
        <f>PTAout!F187</f>
        <v/>
      </c>
      <c r="G182" s="190"/>
      <c r="H182" s="190"/>
      <c r="I182" s="190"/>
      <c r="J182" s="399" t="str">
        <f>PTAout!H187</f>
        <v/>
      </c>
      <c r="K182" s="399" t="str">
        <f>PTAout!L187</f>
        <v/>
      </c>
      <c r="L182" s="399" t="str">
        <f>PTAout!Q187</f>
        <v/>
      </c>
      <c r="M182" s="399" t="str">
        <f>PTAout!V187</f>
        <v/>
      </c>
      <c r="N182" s="399" t="str">
        <f>PTAout!AA187</f>
        <v/>
      </c>
      <c r="O182" s="399" t="str">
        <f>PTAout!AF187</f>
        <v/>
      </c>
      <c r="P182" s="45"/>
      <c r="Q182" s="193"/>
      <c r="R182" s="193"/>
      <c r="S182" s="193"/>
      <c r="T182" s="193"/>
      <c r="U182" s="634"/>
      <c r="V182" s="31"/>
      <c r="W182" s="29"/>
      <c r="X182" s="29"/>
      <c r="Y182" s="29"/>
      <c r="Z182" s="29"/>
    </row>
    <row r="183" spans="2:26" ht="15" customHeight="1">
      <c r="B183" s="30"/>
      <c r="C183" s="209"/>
      <c r="D183" s="187" t="str">
        <f>PTAout!D188</f>
        <v>Local climate</v>
      </c>
      <c r="E183" s="47"/>
      <c r="F183" s="190" t="str">
        <f>PTAout!F188</f>
        <v/>
      </c>
      <c r="G183" s="190"/>
      <c r="H183" s="190"/>
      <c r="I183" s="190"/>
      <c r="J183" s="399" t="str">
        <f>PTAout!H188</f>
        <v/>
      </c>
      <c r="K183" s="399" t="str">
        <f>PTAout!L188</f>
        <v/>
      </c>
      <c r="L183" s="399" t="str">
        <f>PTAout!Q188</f>
        <v/>
      </c>
      <c r="M183" s="399" t="str">
        <f>PTAout!V188</f>
        <v/>
      </c>
      <c r="N183" s="399" t="str">
        <f>PTAout!AA188</f>
        <v/>
      </c>
      <c r="O183" s="399" t="str">
        <f>PTAout!AF188</f>
        <v/>
      </c>
      <c r="P183" s="45"/>
      <c r="Q183" s="193"/>
      <c r="R183" s="193"/>
      <c r="S183" s="193"/>
      <c r="T183" s="193"/>
      <c r="U183" s="634"/>
      <c r="V183" s="31"/>
      <c r="W183" s="29"/>
      <c r="X183" s="29"/>
      <c r="Y183" s="29"/>
      <c r="Z183" s="29"/>
    </row>
    <row r="184" spans="2:26" ht="15" customHeight="1">
      <c r="B184" s="30"/>
      <c r="C184" s="209"/>
      <c r="D184" s="187" t="str">
        <f>PTAout!D189</f>
        <v>Energy</v>
      </c>
      <c r="E184" s="47"/>
      <c r="F184" s="190" t="str">
        <f>PTAout!F189</f>
        <v/>
      </c>
      <c r="G184" s="190"/>
      <c r="H184" s="190"/>
      <c r="I184" s="190"/>
      <c r="J184" s="399" t="str">
        <f>PTAout!H189</f>
        <v/>
      </c>
      <c r="K184" s="399" t="str">
        <f>PTAout!L189</f>
        <v/>
      </c>
      <c r="L184" s="399" t="str">
        <f>PTAout!Q189</f>
        <v/>
      </c>
      <c r="M184" s="399" t="str">
        <f>PTAout!V189</f>
        <v/>
      </c>
      <c r="N184" s="399" t="str">
        <f>PTAout!AA189</f>
        <v/>
      </c>
      <c r="O184" s="399" t="str">
        <f>PTAout!AF189</f>
        <v/>
      </c>
      <c r="P184" s="45"/>
      <c r="Q184" s="193"/>
      <c r="R184" s="193"/>
      <c r="S184" s="193"/>
      <c r="T184" s="193"/>
      <c r="U184" s="634"/>
      <c r="V184" s="31"/>
      <c r="W184" s="29"/>
      <c r="X184" s="29"/>
      <c r="Y184" s="29"/>
      <c r="Z184" s="29"/>
    </row>
    <row r="185" spans="2:26" ht="15" customHeight="1">
      <c r="B185" s="30"/>
      <c r="C185" s="59"/>
      <c r="D185" s="403" t="str">
        <f>PTAout!D190</f>
        <v>Co2 emissions</v>
      </c>
      <c r="E185" s="85"/>
      <c r="F185" s="294" t="str">
        <f>PTAout!F190</f>
        <v/>
      </c>
      <c r="G185" s="294"/>
      <c r="H185" s="294"/>
      <c r="I185" s="190"/>
      <c r="J185" s="302" t="str">
        <f>PTAout!H190</f>
        <v/>
      </c>
      <c r="K185" s="302" t="str">
        <f>PTAout!L190</f>
        <v/>
      </c>
      <c r="L185" s="302" t="str">
        <f>PTAout!Q190</f>
        <v/>
      </c>
      <c r="M185" s="302" t="str">
        <f>PTAout!V190</f>
        <v/>
      </c>
      <c r="N185" s="302" t="str">
        <f>PTAout!AA190</f>
        <v/>
      </c>
      <c r="O185" s="302" t="str">
        <f>PTAout!AF190</f>
        <v/>
      </c>
      <c r="P185" s="91"/>
      <c r="Q185" s="635"/>
      <c r="R185" s="635"/>
      <c r="S185" s="635"/>
      <c r="T185" s="635"/>
      <c r="U185" s="636"/>
      <c r="V185" s="31"/>
      <c r="W185" s="29"/>
      <c r="X185" s="29"/>
      <c r="Y185" s="29"/>
      <c r="Z185" s="29"/>
    </row>
    <row r="186" spans="2:26" ht="15" customHeight="1" thickBot="1">
      <c r="B186" s="37"/>
      <c r="C186" s="38"/>
      <c r="D186" s="38"/>
      <c r="E186" s="38"/>
      <c r="F186" s="38"/>
      <c r="G186" s="38"/>
      <c r="H186" s="38"/>
      <c r="I186" s="38"/>
      <c r="J186" s="38"/>
      <c r="K186" s="38"/>
      <c r="L186" s="38"/>
      <c r="M186" s="38"/>
      <c r="N186" s="38"/>
      <c r="O186" s="38"/>
      <c r="P186" s="38"/>
      <c r="Q186" s="38"/>
      <c r="R186" s="38"/>
      <c r="S186" s="38"/>
      <c r="T186" s="38"/>
      <c r="U186" s="38"/>
      <c r="V186" s="39"/>
    </row>
    <row r="187" spans="2:26" ht="15" customHeight="1"/>
    <row r="188" spans="2:26" ht="15" hidden="1" customHeight="1"/>
    <row r="189" spans="2:26" ht="15" customHeight="1"/>
  </sheetData>
  <mergeCells count="7">
    <mergeCell ref="C31:E34"/>
    <mergeCell ref="F31:F34"/>
    <mergeCell ref="Q31:U31"/>
    <mergeCell ref="J31:O31"/>
    <mergeCell ref="H15:I17"/>
    <mergeCell ref="H31:H34"/>
    <mergeCell ref="G31:G3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E51935"/>
  </sheetPr>
  <dimension ref="A1:Y142"/>
  <sheetViews>
    <sheetView zoomScale="90" zoomScaleNormal="90" workbookViewId="0"/>
  </sheetViews>
  <sheetFormatPr defaultColWidth="0" defaultRowHeight="14.45" customHeight="1" zeroHeight="1"/>
  <cols>
    <col min="1" max="1" width="35" style="1" bestFit="1" customWidth="1"/>
    <col min="2" max="2" width="31.42578125" style="1" bestFit="1" customWidth="1"/>
    <col min="3" max="3" width="27.140625" style="872" customWidth="1"/>
    <col min="4" max="4" width="30.85546875" style="872" bestFit="1" customWidth="1"/>
    <col min="5" max="5" width="24" style="872" bestFit="1" customWidth="1"/>
    <col min="6" max="6" width="15.140625" style="872" customWidth="1"/>
    <col min="7" max="7" width="10.5703125" style="872" bestFit="1" customWidth="1"/>
    <col min="8" max="8" width="74.5703125" style="872" bestFit="1" customWidth="1"/>
    <col min="9" max="9" width="13.42578125" style="1" bestFit="1" customWidth="1"/>
    <col min="10" max="10" width="13.5703125" style="1" bestFit="1" customWidth="1"/>
    <col min="11" max="13" width="12.140625" style="1" customWidth="1"/>
    <col min="14" max="14" width="13.28515625" style="1" bestFit="1" customWidth="1"/>
    <col min="15" max="15" width="12.140625" style="1" customWidth="1"/>
    <col min="16" max="16" width="8.7109375" style="1" customWidth="1"/>
    <col min="17" max="25" width="0" style="1" hidden="1" customWidth="1"/>
    <col min="26" max="16384" width="8.7109375" style="1" hidden="1"/>
  </cols>
  <sheetData>
    <row r="1" spans="1:25" ht="14.45" customHeight="1">
      <c r="D1" s="933"/>
      <c r="K1" s="17" t="s">
        <v>547</v>
      </c>
    </row>
    <row r="2" spans="1:25" ht="14.45" customHeight="1">
      <c r="A2" s="962"/>
      <c r="B2" s="962"/>
      <c r="C2" s="963" t="s">
        <v>400</v>
      </c>
      <c r="D2" s="964" t="s">
        <v>397</v>
      </c>
      <c r="E2" s="963" t="s">
        <v>398</v>
      </c>
      <c r="F2" s="963" t="s">
        <v>120</v>
      </c>
      <c r="G2" s="963" t="s">
        <v>122</v>
      </c>
      <c r="H2" s="963" t="s">
        <v>35</v>
      </c>
      <c r="I2" s="962" t="s">
        <v>401</v>
      </c>
      <c r="J2" s="962" t="s">
        <v>335</v>
      </c>
      <c r="K2" s="962" t="s">
        <v>354</v>
      </c>
      <c r="L2" s="962" t="s">
        <v>355</v>
      </c>
      <c r="M2" s="962" t="s">
        <v>356</v>
      </c>
      <c r="N2" s="962" t="s">
        <v>357</v>
      </c>
      <c r="O2" s="962" t="s">
        <v>358</v>
      </c>
      <c r="P2" s="17"/>
      <c r="Q2" s="17"/>
      <c r="R2" s="17"/>
      <c r="S2" s="17"/>
      <c r="T2" s="17"/>
      <c r="U2" s="17"/>
      <c r="V2" s="17"/>
      <c r="W2" s="17"/>
      <c r="X2" s="17"/>
      <c r="Y2" s="17"/>
    </row>
    <row r="3" spans="1:25" ht="14.45" customHeight="1">
      <c r="A3" s="17" t="s">
        <v>42</v>
      </c>
      <c r="B3" s="17"/>
    </row>
    <row r="4" spans="1:25" ht="14.45" customHeight="1">
      <c r="A4" s="17"/>
      <c r="B4" s="17" t="s">
        <v>344</v>
      </c>
      <c r="C4" s="920" t="s">
        <v>342</v>
      </c>
      <c r="D4" s="151" t="s">
        <v>124</v>
      </c>
      <c r="E4" s="920" t="s">
        <v>343</v>
      </c>
      <c r="F4" s="920" t="s">
        <v>121</v>
      </c>
      <c r="G4" s="151">
        <v>2010</v>
      </c>
      <c r="H4" s="920" t="s">
        <v>371</v>
      </c>
      <c r="I4" s="934">
        <v>0.16706484614488903</v>
      </c>
      <c r="J4" s="935">
        <v>125.73840851322136</v>
      </c>
      <c r="K4" s="936">
        <f>I4*J4/100</f>
        <v>0.21006467872764531</v>
      </c>
      <c r="L4" s="937">
        <f>K4*euro_to_pound</f>
        <v>0.24787632089862147</v>
      </c>
      <c r="M4" s="937">
        <f>K4*sek_to_pound</f>
        <v>2.5228767915190202</v>
      </c>
      <c r="N4" s="938">
        <f>K4*huf_to_pound</f>
        <v>87.689399488068261</v>
      </c>
      <c r="O4" s="937">
        <f>K4*ron_to_pound</f>
        <v>1.2183751366203428</v>
      </c>
    </row>
    <row r="5" spans="1:25" ht="14.45" customHeight="1">
      <c r="A5" s="17"/>
      <c r="B5" s="17" t="s">
        <v>344</v>
      </c>
      <c r="C5" s="920" t="s">
        <v>359</v>
      </c>
      <c r="D5" s="151" t="s">
        <v>130</v>
      </c>
      <c r="E5" s="920" t="s">
        <v>343</v>
      </c>
      <c r="F5" s="920" t="s">
        <v>129</v>
      </c>
      <c r="G5" s="151">
        <v>2017</v>
      </c>
      <c r="H5" s="920" t="s">
        <v>373</v>
      </c>
      <c r="I5" s="939">
        <v>3.9</v>
      </c>
      <c r="J5" s="935">
        <v>107</v>
      </c>
      <c r="K5" s="937">
        <f>M5*pound_to_sek</f>
        <v>0.34635900000000003</v>
      </c>
      <c r="L5" s="937">
        <f>M5*euro_to_sek</f>
        <v>0.40895400000000004</v>
      </c>
      <c r="M5" s="936">
        <f>I5*J5/100</f>
        <v>4.173</v>
      </c>
      <c r="N5" s="938">
        <f>M5*huf_to_sek</f>
        <v>145.01175000000001</v>
      </c>
      <c r="O5" s="937">
        <f>M5*ron_to_sek</f>
        <v>2.0030399999999999</v>
      </c>
    </row>
    <row r="6" spans="1:25" ht="14.45" customHeight="1">
      <c r="A6" s="17"/>
      <c r="B6" s="17" t="s">
        <v>334</v>
      </c>
      <c r="C6" s="920" t="s">
        <v>342</v>
      </c>
      <c r="D6" s="151" t="s">
        <v>124</v>
      </c>
      <c r="E6" s="920" t="s">
        <v>343</v>
      </c>
      <c r="F6" s="920" t="s">
        <v>121</v>
      </c>
      <c r="G6" s="151">
        <v>2010</v>
      </c>
      <c r="H6" s="920" t="s">
        <v>371</v>
      </c>
      <c r="I6" s="934">
        <v>0.16706484614488903</v>
      </c>
      <c r="J6" s="935">
        <v>125.73840851322136</v>
      </c>
      <c r="K6" s="936">
        <f>I6*J6/100</f>
        <v>0.21006467872764531</v>
      </c>
      <c r="L6" s="937">
        <f>K6*euro_to_pound</f>
        <v>0.24787632089862147</v>
      </c>
      <c r="M6" s="937">
        <f>K6*sek_to_pound</f>
        <v>2.5228767915190202</v>
      </c>
      <c r="N6" s="938">
        <f>K6*huf_to_pound</f>
        <v>87.689399488068261</v>
      </c>
      <c r="O6" s="937">
        <f>K6*ron_to_pound</f>
        <v>1.2183751366203428</v>
      </c>
    </row>
    <row r="7" spans="1:25" ht="14.45" customHeight="1">
      <c r="A7" s="17"/>
      <c r="B7" s="17" t="s">
        <v>334</v>
      </c>
      <c r="C7" s="920" t="s">
        <v>359</v>
      </c>
      <c r="D7" s="151" t="s">
        <v>130</v>
      </c>
      <c r="E7" s="920" t="s">
        <v>343</v>
      </c>
      <c r="F7" s="920" t="s">
        <v>129</v>
      </c>
      <c r="G7" s="151">
        <v>2017</v>
      </c>
      <c r="H7" s="920" t="s">
        <v>372</v>
      </c>
      <c r="I7" s="939">
        <v>2.9166666666666665</v>
      </c>
      <c r="J7" s="935">
        <v>107</v>
      </c>
      <c r="K7" s="937">
        <f>M7*pound_to_sek</f>
        <v>0.25902916666666664</v>
      </c>
      <c r="L7" s="937">
        <f>M7*euro_to_sek</f>
        <v>0.30584166666666668</v>
      </c>
      <c r="M7" s="936">
        <f>I7*J7/100</f>
        <v>3.1208333333333331</v>
      </c>
      <c r="N7" s="938">
        <f>M7*huf_to_sek</f>
        <v>108.44895833333332</v>
      </c>
      <c r="O7" s="937">
        <f>M7*ron_to_sek</f>
        <v>1.4979999999999998</v>
      </c>
    </row>
    <row r="8" spans="1:25" ht="14.45" customHeight="1">
      <c r="A8" s="17"/>
      <c r="B8" s="17" t="s">
        <v>399</v>
      </c>
      <c r="C8" s="920" t="s">
        <v>342</v>
      </c>
      <c r="D8" s="151" t="s">
        <v>124</v>
      </c>
      <c r="E8" s="920" t="s">
        <v>343</v>
      </c>
      <c r="F8" s="920" t="s">
        <v>121</v>
      </c>
      <c r="G8" s="151">
        <v>2010</v>
      </c>
      <c r="H8" s="920" t="s">
        <v>371</v>
      </c>
      <c r="I8" s="934">
        <v>0.16706484614488903</v>
      </c>
      <c r="J8" s="935">
        <v>125.73840851322136</v>
      </c>
      <c r="K8" s="936">
        <f>I8*J8/100</f>
        <v>0.21006467872764531</v>
      </c>
      <c r="L8" s="937">
        <f>K8*euro_to_pound</f>
        <v>0.24787632089862147</v>
      </c>
      <c r="M8" s="937">
        <f>K8*sek_to_pound</f>
        <v>2.5228767915190202</v>
      </c>
      <c r="N8" s="938">
        <f>K8*huf_to_pound</f>
        <v>87.689399488068261</v>
      </c>
      <c r="O8" s="937">
        <f>K8*ron_to_pound</f>
        <v>1.2183751366203428</v>
      </c>
    </row>
    <row r="9" spans="1:25" ht="14.45" customHeight="1">
      <c r="A9" s="17"/>
      <c r="B9" s="17" t="s">
        <v>399</v>
      </c>
      <c r="C9" s="920" t="s">
        <v>359</v>
      </c>
      <c r="D9" s="151" t="s">
        <v>130</v>
      </c>
      <c r="E9" s="920" t="s">
        <v>343</v>
      </c>
      <c r="F9" s="920" t="s">
        <v>129</v>
      </c>
      <c r="G9" s="151">
        <v>2017</v>
      </c>
      <c r="H9" s="920" t="s">
        <v>370</v>
      </c>
      <c r="I9" s="939">
        <v>1.2186666666666668</v>
      </c>
      <c r="J9" s="935">
        <v>106.59530292858499</v>
      </c>
      <c r="K9" s="937">
        <f>M9*pound_to_sek</f>
        <v>0.10782043827691087</v>
      </c>
      <c r="L9" s="937">
        <f>M9*euro_to_sek</f>
        <v>0.12730605965225619</v>
      </c>
      <c r="M9" s="936">
        <f>I9*J9/100</f>
        <v>1.2990414250230224</v>
      </c>
      <c r="N9" s="938">
        <f>M9*huf_to_sek</f>
        <v>45.141689519550027</v>
      </c>
      <c r="O9" s="937">
        <f>M9*ron_to_sek</f>
        <v>0.62353988401105076</v>
      </c>
    </row>
    <row r="10" spans="1:25" ht="14.45" customHeight="1">
      <c r="A10" s="17"/>
      <c r="B10" s="17" t="s">
        <v>368</v>
      </c>
      <c r="C10" s="920" t="s">
        <v>342</v>
      </c>
      <c r="D10" s="151" t="s">
        <v>124</v>
      </c>
      <c r="E10" s="920" t="s">
        <v>343</v>
      </c>
      <c r="F10" s="920" t="s">
        <v>121</v>
      </c>
      <c r="G10" s="151">
        <v>2010</v>
      </c>
      <c r="H10" s="920" t="s">
        <v>371</v>
      </c>
      <c r="I10" s="934">
        <v>0.29481036630758251</v>
      </c>
      <c r="J10" s="935">
        <v>125.73840851322136</v>
      </c>
      <c r="K10" s="936">
        <f>I10*J10/100</f>
        <v>0.37068986272715237</v>
      </c>
      <c r="L10" s="937">
        <f>K10*euro_to_pound</f>
        <v>0.4374140380180398</v>
      </c>
      <c r="M10" s="937">
        <f>K10*sek_to_pound</f>
        <v>4.4519852513530997</v>
      </c>
      <c r="N10" s="938">
        <f>K10*huf_to_pound</f>
        <v>154.74077629682247</v>
      </c>
      <c r="O10" s="937">
        <f>K10*ron_to_pound</f>
        <v>2.1500012038174838</v>
      </c>
    </row>
    <row r="11" spans="1:25" ht="14.45" customHeight="1">
      <c r="A11" s="17"/>
      <c r="B11" s="17" t="s">
        <v>368</v>
      </c>
      <c r="C11" s="920" t="s">
        <v>359</v>
      </c>
      <c r="D11" s="151" t="s">
        <v>130</v>
      </c>
      <c r="E11" s="920" t="s">
        <v>343</v>
      </c>
      <c r="F11" s="920" t="s">
        <v>129</v>
      </c>
      <c r="G11" s="151">
        <v>2017</v>
      </c>
      <c r="H11" s="920" t="s">
        <v>370</v>
      </c>
      <c r="I11" s="939">
        <v>1.7553333333333334</v>
      </c>
      <c r="J11" s="935">
        <v>106.59530292858499</v>
      </c>
      <c r="K11" s="937">
        <f>M11*pound_to_sek</f>
        <v>0.1553015393780669</v>
      </c>
      <c r="L11" s="937">
        <f>M11*euro_to_sek</f>
        <v>0.18336808263916335</v>
      </c>
      <c r="M11" s="936">
        <f>I11*J11/100</f>
        <v>1.8711028840730952</v>
      </c>
      <c r="N11" s="938">
        <f>M11*huf_to_sek</f>
        <v>65.020825221540065</v>
      </c>
      <c r="O11" s="937">
        <f>M11*ron_to_sek</f>
        <v>0.89812938435508571</v>
      </c>
    </row>
    <row r="12" spans="1:25" ht="14.45" customHeight="1">
      <c r="A12" s="17"/>
      <c r="B12" s="17" t="s">
        <v>119</v>
      </c>
      <c r="C12" s="920" t="s">
        <v>342</v>
      </c>
      <c r="D12" s="151" t="s">
        <v>124</v>
      </c>
      <c r="E12" s="920" t="s">
        <v>343</v>
      </c>
      <c r="F12" s="920" t="s">
        <v>121</v>
      </c>
      <c r="G12" s="151">
        <v>2010</v>
      </c>
      <c r="H12" s="920" t="s">
        <v>371</v>
      </c>
      <c r="I12" s="934">
        <v>0.29481036630758251</v>
      </c>
      <c r="J12" s="935">
        <v>125.73840851322136</v>
      </c>
      <c r="K12" s="936">
        <f>I12*J12/100</f>
        <v>0.37068986272715237</v>
      </c>
      <c r="L12" s="937">
        <f>K12*euro_to_pound</f>
        <v>0.4374140380180398</v>
      </c>
      <c r="M12" s="937">
        <f>K12*sek_to_pound</f>
        <v>4.4519852513530997</v>
      </c>
      <c r="N12" s="938">
        <f>K12*huf_to_pound</f>
        <v>154.74077629682247</v>
      </c>
      <c r="O12" s="937">
        <f>K12*ron_to_pound</f>
        <v>2.1500012038174838</v>
      </c>
    </row>
    <row r="13" spans="1:25" ht="14.45" customHeight="1">
      <c r="A13" s="17"/>
      <c r="B13" s="17" t="s">
        <v>219</v>
      </c>
      <c r="C13" s="920" t="s">
        <v>342</v>
      </c>
      <c r="D13" s="151" t="s">
        <v>124</v>
      </c>
      <c r="E13" s="920" t="s">
        <v>343</v>
      </c>
      <c r="F13" s="920" t="s">
        <v>121</v>
      </c>
      <c r="G13" s="151">
        <v>2010</v>
      </c>
      <c r="H13" s="927" t="s">
        <v>781</v>
      </c>
      <c r="I13" s="934">
        <v>0.21662958333333332</v>
      </c>
      <c r="J13" s="935">
        <v>125.73840851322136</v>
      </c>
      <c r="K13" s="936">
        <f>I13*J13/100</f>
        <v>0.27238659045215596</v>
      </c>
      <c r="L13" s="937">
        <f>K13*euro_to_pound</f>
        <v>0.321416176733544</v>
      </c>
      <c r="M13" s="937">
        <f>K13*sek_to_pound</f>
        <v>3.271362951330393</v>
      </c>
      <c r="N13" s="938">
        <f>K13*huf_to_pound</f>
        <v>113.70505831834798</v>
      </c>
      <c r="O13" s="937">
        <f>K13*ron_to_pound</f>
        <v>1.5798422246225046</v>
      </c>
      <c r="Q13" s="940"/>
    </row>
    <row r="14" spans="1:25" ht="14.45" customHeight="1">
      <c r="A14" s="17"/>
      <c r="B14" s="17" t="s">
        <v>219</v>
      </c>
      <c r="C14" s="920" t="s">
        <v>359</v>
      </c>
      <c r="D14" s="151" t="s">
        <v>130</v>
      </c>
      <c r="E14" s="920" t="s">
        <v>343</v>
      </c>
      <c r="F14" s="920" t="s">
        <v>129</v>
      </c>
      <c r="G14" s="151">
        <v>2017</v>
      </c>
      <c r="H14" s="920" t="s">
        <v>374</v>
      </c>
      <c r="I14" s="939">
        <v>0.31125000000000003</v>
      </c>
      <c r="J14" s="935">
        <v>106.59530292858499</v>
      </c>
      <c r="K14" s="937">
        <f>M14*pound_to_sek</f>
        <v>2.7537564070313329E-2</v>
      </c>
      <c r="L14" s="937">
        <f>M14*euro_to_sek</f>
        <v>3.2514232275791644E-2</v>
      </c>
      <c r="M14" s="936">
        <f>I14*J14/100</f>
        <v>0.33177788036522082</v>
      </c>
      <c r="N14" s="938">
        <f>M14*huf_to_sek</f>
        <v>11.529281342691423</v>
      </c>
      <c r="O14" s="937">
        <f>M14*ron_to_sek</f>
        <v>0.159253382575306</v>
      </c>
      <c r="Q14" s="940"/>
    </row>
    <row r="15" spans="1:25" ht="14.45" customHeight="1">
      <c r="A15" s="17" t="s">
        <v>505</v>
      </c>
      <c r="B15" s="17"/>
      <c r="C15" s="49"/>
      <c r="D15" s="49"/>
      <c r="E15" s="49"/>
      <c r="F15" s="49"/>
      <c r="G15" s="49"/>
      <c r="H15" s="49"/>
      <c r="I15" s="941"/>
      <c r="J15" s="942"/>
      <c r="K15" s="943"/>
      <c r="L15" s="937"/>
    </row>
    <row r="16" spans="1:25" ht="14.45" customHeight="1">
      <c r="A16" s="17"/>
      <c r="B16" s="17" t="s">
        <v>368</v>
      </c>
      <c r="C16" s="920" t="s">
        <v>359</v>
      </c>
      <c r="D16" s="151" t="s">
        <v>130</v>
      </c>
      <c r="E16" s="151" t="s">
        <v>758</v>
      </c>
      <c r="F16" s="920" t="s">
        <v>129</v>
      </c>
      <c r="G16" s="151">
        <v>2011</v>
      </c>
      <c r="H16" s="920" t="s">
        <v>517</v>
      </c>
      <c r="I16" s="944">
        <v>1.5</v>
      </c>
      <c r="K16" s="937">
        <f>$I16</f>
        <v>1.5</v>
      </c>
      <c r="L16" s="937">
        <f>$I16</f>
        <v>1.5</v>
      </c>
      <c r="M16" s="937">
        <f>$I16</f>
        <v>1.5</v>
      </c>
      <c r="N16" s="937">
        <f>$I16</f>
        <v>1.5</v>
      </c>
      <c r="O16" s="937">
        <f>$I16</f>
        <v>1.5</v>
      </c>
    </row>
    <row r="17" spans="1:15" ht="14.45" customHeight="1">
      <c r="A17" s="17" t="s">
        <v>506</v>
      </c>
      <c r="B17" s="17"/>
      <c r="C17" s="920"/>
      <c r="D17" s="151"/>
      <c r="E17" s="151"/>
      <c r="F17" s="920"/>
      <c r="G17" s="151"/>
      <c r="H17" s="151"/>
      <c r="I17" s="934"/>
      <c r="J17" s="935"/>
      <c r="K17" s="936"/>
      <c r="L17" s="937"/>
      <c r="M17" s="945"/>
      <c r="N17" s="945"/>
      <c r="O17" s="945"/>
    </row>
    <row r="18" spans="1:15" ht="14.45" customHeight="1">
      <c r="A18" s="17"/>
      <c r="B18" s="17" t="s">
        <v>14</v>
      </c>
      <c r="C18" s="920" t="s">
        <v>359</v>
      </c>
      <c r="D18" s="151" t="s">
        <v>130</v>
      </c>
      <c r="E18" s="920" t="s">
        <v>343</v>
      </c>
      <c r="F18" s="920" t="s">
        <v>129</v>
      </c>
      <c r="G18" s="920" t="s">
        <v>343</v>
      </c>
      <c r="H18" s="920" t="s">
        <v>518</v>
      </c>
      <c r="I18" s="944">
        <v>1.6</v>
      </c>
      <c r="J18" s="935"/>
      <c r="K18" s="937">
        <f t="shared" ref="K18:O24" si="0">$I18</f>
        <v>1.6</v>
      </c>
      <c r="L18" s="937">
        <f t="shared" si="0"/>
        <v>1.6</v>
      </c>
      <c r="M18" s="937">
        <f t="shared" si="0"/>
        <v>1.6</v>
      </c>
      <c r="N18" s="937">
        <f t="shared" si="0"/>
        <v>1.6</v>
      </c>
      <c r="O18" s="937">
        <f t="shared" si="0"/>
        <v>1.6</v>
      </c>
    </row>
    <row r="19" spans="1:15" ht="14.45" customHeight="1">
      <c r="A19" s="17"/>
      <c r="B19" s="17" t="s">
        <v>43</v>
      </c>
      <c r="C19" s="920" t="s">
        <v>359</v>
      </c>
      <c r="D19" s="151" t="s">
        <v>130</v>
      </c>
      <c r="E19" s="920" t="s">
        <v>343</v>
      </c>
      <c r="F19" s="920" t="s">
        <v>129</v>
      </c>
      <c r="G19" s="920" t="s">
        <v>343</v>
      </c>
      <c r="H19" s="920" t="s">
        <v>518</v>
      </c>
      <c r="I19" s="944">
        <v>1.41</v>
      </c>
      <c r="J19" s="935"/>
      <c r="K19" s="936">
        <f t="shared" si="0"/>
        <v>1.41</v>
      </c>
      <c r="L19" s="936">
        <f t="shared" si="0"/>
        <v>1.41</v>
      </c>
      <c r="M19" s="936">
        <f t="shared" si="0"/>
        <v>1.41</v>
      </c>
      <c r="N19" s="936">
        <f t="shared" si="0"/>
        <v>1.41</v>
      </c>
      <c r="O19" s="936">
        <f t="shared" si="0"/>
        <v>1.41</v>
      </c>
    </row>
    <row r="20" spans="1:15" ht="14.45" customHeight="1">
      <c r="A20" s="17"/>
      <c r="B20" s="17" t="s">
        <v>368</v>
      </c>
      <c r="C20" s="920" t="s">
        <v>359</v>
      </c>
      <c r="D20" s="151" t="s">
        <v>130</v>
      </c>
      <c r="E20" s="920" t="s">
        <v>343</v>
      </c>
      <c r="F20" s="920" t="s">
        <v>129</v>
      </c>
      <c r="G20" s="920" t="s">
        <v>343</v>
      </c>
      <c r="H20" s="920" t="s">
        <v>518</v>
      </c>
      <c r="I20" s="944">
        <v>3.5</v>
      </c>
      <c r="J20" s="935"/>
      <c r="K20" s="936">
        <f t="shared" si="0"/>
        <v>3.5</v>
      </c>
      <c r="L20" s="936">
        <f t="shared" si="0"/>
        <v>3.5</v>
      </c>
      <c r="M20" s="936">
        <f t="shared" si="0"/>
        <v>3.5</v>
      </c>
      <c r="N20" s="936">
        <f t="shared" si="0"/>
        <v>3.5</v>
      </c>
      <c r="O20" s="936">
        <f t="shared" si="0"/>
        <v>3.5</v>
      </c>
    </row>
    <row r="21" spans="1:15" ht="14.45" customHeight="1">
      <c r="A21" s="17"/>
      <c r="B21" s="17" t="s">
        <v>399</v>
      </c>
      <c r="C21" s="920" t="s">
        <v>359</v>
      </c>
      <c r="D21" s="151" t="s">
        <v>130</v>
      </c>
      <c r="E21" s="920" t="s">
        <v>343</v>
      </c>
      <c r="F21" s="920" t="s">
        <v>129</v>
      </c>
      <c r="G21" s="920" t="s">
        <v>343</v>
      </c>
      <c r="H21" s="920" t="s">
        <v>518</v>
      </c>
      <c r="I21" s="944">
        <v>3.5</v>
      </c>
      <c r="J21" s="935"/>
      <c r="K21" s="936">
        <f t="shared" si="0"/>
        <v>3.5</v>
      </c>
      <c r="L21" s="936">
        <f t="shared" si="0"/>
        <v>3.5</v>
      </c>
      <c r="M21" s="936">
        <f t="shared" si="0"/>
        <v>3.5</v>
      </c>
      <c r="N21" s="936">
        <f t="shared" si="0"/>
        <v>3.5</v>
      </c>
      <c r="O21" s="936">
        <f t="shared" si="0"/>
        <v>3.5</v>
      </c>
    </row>
    <row r="22" spans="1:15" ht="14.45" customHeight="1">
      <c r="A22" s="17"/>
      <c r="B22" s="17" t="s">
        <v>219</v>
      </c>
      <c r="C22" s="920" t="s">
        <v>359</v>
      </c>
      <c r="D22" s="151" t="s">
        <v>130</v>
      </c>
      <c r="E22" s="920" t="s">
        <v>343</v>
      </c>
      <c r="F22" s="920" t="s">
        <v>129</v>
      </c>
      <c r="G22" s="920" t="s">
        <v>343</v>
      </c>
      <c r="H22" s="920" t="s">
        <v>518</v>
      </c>
      <c r="I22" s="944">
        <v>3.5</v>
      </c>
      <c r="J22" s="935"/>
      <c r="K22" s="936">
        <f t="shared" si="0"/>
        <v>3.5</v>
      </c>
      <c r="L22" s="936">
        <f t="shared" si="0"/>
        <v>3.5</v>
      </c>
      <c r="M22" s="936">
        <f t="shared" si="0"/>
        <v>3.5</v>
      </c>
      <c r="N22" s="936">
        <f t="shared" si="0"/>
        <v>3.5</v>
      </c>
      <c r="O22" s="936">
        <f t="shared" si="0"/>
        <v>3.5</v>
      </c>
    </row>
    <row r="23" spans="1:15" ht="14.45" customHeight="1">
      <c r="A23" s="17" t="s">
        <v>503</v>
      </c>
      <c r="B23" s="17"/>
      <c r="C23" s="920"/>
      <c r="D23" s="151"/>
      <c r="E23" s="920"/>
      <c r="F23" s="920"/>
      <c r="G23" s="920"/>
      <c r="H23" s="151"/>
      <c r="I23" s="944"/>
      <c r="J23" s="935"/>
      <c r="K23" s="936"/>
      <c r="L23" s="936"/>
      <c r="M23" s="936"/>
      <c r="N23" s="936"/>
      <c r="O23" s="936"/>
    </row>
    <row r="24" spans="1:15" ht="14.45" customHeight="1">
      <c r="A24" s="17"/>
      <c r="B24" s="17" t="s">
        <v>368</v>
      </c>
      <c r="C24" s="920" t="s">
        <v>359</v>
      </c>
      <c r="D24" s="151" t="s">
        <v>130</v>
      </c>
      <c r="E24" s="920" t="s">
        <v>343</v>
      </c>
      <c r="F24" s="920" t="s">
        <v>129</v>
      </c>
      <c r="G24" s="920" t="s">
        <v>343</v>
      </c>
      <c r="H24" s="920" t="s">
        <v>508</v>
      </c>
      <c r="I24" s="944">
        <v>0.9</v>
      </c>
      <c r="J24" s="935"/>
      <c r="K24" s="936">
        <f t="shared" si="0"/>
        <v>0.9</v>
      </c>
      <c r="L24" s="936">
        <f t="shared" si="0"/>
        <v>0.9</v>
      </c>
      <c r="M24" s="936">
        <f t="shared" si="0"/>
        <v>0.9</v>
      </c>
      <c r="N24" s="936">
        <f t="shared" si="0"/>
        <v>0.9</v>
      </c>
      <c r="O24" s="936">
        <f t="shared" si="0"/>
        <v>0.9</v>
      </c>
    </row>
    <row r="25" spans="1:15" ht="14.45" customHeight="1">
      <c r="A25" s="17" t="s">
        <v>507</v>
      </c>
      <c r="B25" s="17"/>
      <c r="C25" s="49"/>
      <c r="D25" s="49"/>
      <c r="E25" s="49"/>
      <c r="F25" s="49"/>
      <c r="G25" s="49"/>
      <c r="H25" s="49"/>
      <c r="I25" s="941"/>
      <c r="J25" s="946"/>
      <c r="K25" s="947"/>
      <c r="L25" s="937"/>
    </row>
    <row r="26" spans="1:15" ht="14.45" customHeight="1">
      <c r="A26" s="17"/>
      <c r="B26" s="17" t="s">
        <v>445</v>
      </c>
      <c r="C26" s="920" t="s">
        <v>342</v>
      </c>
      <c r="D26" s="151" t="s">
        <v>124</v>
      </c>
      <c r="E26" s="151" t="s">
        <v>127</v>
      </c>
      <c r="F26" s="920" t="s">
        <v>121</v>
      </c>
      <c r="G26" s="151">
        <v>1996</v>
      </c>
      <c r="H26" s="920" t="s">
        <v>529</v>
      </c>
      <c r="I26" s="934">
        <v>7.0300000000000001E-2</v>
      </c>
      <c r="J26" s="935">
        <v>125.73840851322136</v>
      </c>
      <c r="K26" s="936">
        <f>I26*J26/100</f>
        <v>8.8394101184794613E-2</v>
      </c>
      <c r="L26" s="937">
        <f>K26*euro_to_pound</f>
        <v>0.10430503939805764</v>
      </c>
      <c r="M26" s="937">
        <f>K26*sek_to_pound</f>
        <v>1.0616131552293833</v>
      </c>
      <c r="N26" s="938">
        <f>K26*huf_to_pound</f>
        <v>36.899233598580665</v>
      </c>
      <c r="O26" s="937">
        <f>K26*ron_to_pound</f>
        <v>0.51268578687180877</v>
      </c>
    </row>
    <row r="27" spans="1:15" ht="14.45" customHeight="1">
      <c r="A27" s="17"/>
      <c r="B27" s="17" t="s">
        <v>445</v>
      </c>
      <c r="C27" s="920" t="s">
        <v>359</v>
      </c>
      <c r="D27" s="151" t="s">
        <v>130</v>
      </c>
      <c r="E27" s="920" t="s">
        <v>343</v>
      </c>
      <c r="F27" s="920" t="s">
        <v>129</v>
      </c>
      <c r="G27" s="151">
        <v>2017</v>
      </c>
      <c r="H27" s="920" t="s">
        <v>529</v>
      </c>
      <c r="I27" s="939">
        <v>0.58333333333333337</v>
      </c>
      <c r="J27" s="935">
        <v>107</v>
      </c>
      <c r="K27" s="937">
        <f>M27*pound_to_sek</f>
        <v>5.1805833333333343E-2</v>
      </c>
      <c r="L27" s="937">
        <f>M27*euro_to_sek</f>
        <v>6.1168333333333345E-2</v>
      </c>
      <c r="M27" s="936">
        <f>I27*J27/100</f>
        <v>0.62416666666666676</v>
      </c>
      <c r="N27" s="938">
        <f>M27*huf_to_sek</f>
        <v>21.689791666666668</v>
      </c>
      <c r="O27" s="937">
        <f>M27*ron_to_sek</f>
        <v>0.29960000000000003</v>
      </c>
    </row>
    <row r="28" spans="1:15" ht="14.45" customHeight="1">
      <c r="A28" s="17"/>
      <c r="B28" s="17" t="s">
        <v>446</v>
      </c>
      <c r="C28" s="920" t="s">
        <v>342</v>
      </c>
      <c r="D28" s="151" t="s">
        <v>124</v>
      </c>
      <c r="E28" s="151" t="s">
        <v>402</v>
      </c>
      <c r="F28" s="920" t="s">
        <v>121</v>
      </c>
      <c r="G28" s="151">
        <v>1997</v>
      </c>
      <c r="H28" s="920" t="s">
        <v>529</v>
      </c>
      <c r="I28" s="934">
        <v>2.9700000000000001E-2</v>
      </c>
      <c r="J28" s="935">
        <v>125.73840851322136</v>
      </c>
      <c r="K28" s="936">
        <f>I28*J28/100</f>
        <v>3.7344307328426744E-2</v>
      </c>
      <c r="L28" s="937">
        <f>K28*euro_to_pound</f>
        <v>4.4066282647543559E-2</v>
      </c>
      <c r="M28" s="937">
        <f>K28*sek_to_pound</f>
        <v>0.4485051310144052</v>
      </c>
      <c r="N28" s="938">
        <f>K28*huf_to_pound</f>
        <v>15.589007651178459</v>
      </c>
      <c r="O28" s="937">
        <f>K28*ron_to_pound</f>
        <v>0.21659698250487511</v>
      </c>
    </row>
    <row r="29" spans="1:15" ht="14.45" customHeight="1">
      <c r="A29" s="17"/>
      <c r="B29" s="17" t="s">
        <v>446</v>
      </c>
      <c r="C29" s="920" t="s">
        <v>359</v>
      </c>
      <c r="D29" s="151" t="s">
        <v>130</v>
      </c>
      <c r="E29" s="920" t="s">
        <v>343</v>
      </c>
      <c r="F29" s="920" t="s">
        <v>129</v>
      </c>
      <c r="G29" s="151">
        <v>2017</v>
      </c>
      <c r="H29" s="920" t="s">
        <v>529</v>
      </c>
      <c r="I29" s="939">
        <v>0.28333333333333333</v>
      </c>
      <c r="J29" s="935">
        <v>107</v>
      </c>
      <c r="K29" s="937">
        <f>M29*pound_to_sek</f>
        <v>2.5162833333333332E-2</v>
      </c>
      <c r="L29" s="937">
        <f>M29*euro_to_sek</f>
        <v>2.9710333333333332E-2</v>
      </c>
      <c r="M29" s="936">
        <f>I29*J29/100</f>
        <v>0.30316666666666664</v>
      </c>
      <c r="N29" s="938">
        <f>M29*huf_to_sek</f>
        <v>10.535041666666666</v>
      </c>
      <c r="O29" s="937">
        <f>M29*ron_to_sek</f>
        <v>0.14551999999999998</v>
      </c>
    </row>
    <row r="30" spans="1:15" ht="14.45" customHeight="1">
      <c r="A30" s="17"/>
      <c r="B30" s="17" t="s">
        <v>447</v>
      </c>
      <c r="C30" s="920" t="s">
        <v>342</v>
      </c>
      <c r="D30" s="151" t="s">
        <v>124</v>
      </c>
      <c r="E30" s="151" t="s">
        <v>127</v>
      </c>
      <c r="F30" s="920" t="s">
        <v>121</v>
      </c>
      <c r="G30" s="151">
        <v>1996</v>
      </c>
      <c r="H30" s="920" t="s">
        <v>529</v>
      </c>
      <c r="I30" s="934">
        <v>1.8100000000000002E-2</v>
      </c>
      <c r="J30" s="935">
        <v>125.73840851322136</v>
      </c>
      <c r="K30" s="936">
        <f>I30*J30/100</f>
        <v>2.275865194089307E-2</v>
      </c>
      <c r="L30" s="937">
        <f>K30*euro_to_pound</f>
        <v>2.6855209290253822E-2</v>
      </c>
      <c r="M30" s="937">
        <f>K30*sek_to_pound</f>
        <v>0.27333140981012577</v>
      </c>
      <c r="N30" s="938">
        <f>K30*huf_to_pound</f>
        <v>9.5003716662064033</v>
      </c>
      <c r="O30" s="937">
        <f>K30*ron_to_pound</f>
        <v>0.1320001812571798</v>
      </c>
    </row>
    <row r="31" spans="1:15" ht="14.45" customHeight="1">
      <c r="A31" s="17"/>
      <c r="B31" s="17" t="s">
        <v>448</v>
      </c>
      <c r="C31" s="920" t="s">
        <v>342</v>
      </c>
      <c r="D31" s="151" t="s">
        <v>124</v>
      </c>
      <c r="E31" s="151" t="s">
        <v>127</v>
      </c>
      <c r="F31" s="920" t="s">
        <v>121</v>
      </c>
      <c r="G31" s="151">
        <v>1996</v>
      </c>
      <c r="H31" s="920" t="s">
        <v>529</v>
      </c>
      <c r="I31" s="934">
        <v>7.7000000000000002E-3</v>
      </c>
      <c r="J31" s="935">
        <v>125.73840851322136</v>
      </c>
      <c r="K31" s="936">
        <f>I31*J31/100</f>
        <v>9.6818574555180455E-3</v>
      </c>
      <c r="L31" s="937">
        <f>K31*euro_to_pound</f>
        <v>1.1424591797511293E-2</v>
      </c>
      <c r="M31" s="937">
        <f>K31*sek_to_pound</f>
        <v>0.11627910804077173</v>
      </c>
      <c r="N31" s="938">
        <f>K31*huf_to_pound</f>
        <v>4.0415945762314527</v>
      </c>
      <c r="O31" s="937">
        <f>K31*ron_to_pound</f>
        <v>5.6154773242004664E-2</v>
      </c>
    </row>
    <row r="32" spans="1:15" ht="14.45" customHeight="1">
      <c r="A32" s="17" t="s">
        <v>108</v>
      </c>
      <c r="B32" s="17"/>
      <c r="C32" s="151"/>
      <c r="D32" s="151"/>
      <c r="E32" s="151"/>
      <c r="F32" s="151"/>
      <c r="G32" s="151"/>
      <c r="H32" s="151"/>
      <c r="I32" s="944"/>
      <c r="J32" s="948"/>
      <c r="K32" s="943"/>
      <c r="L32" s="937"/>
    </row>
    <row r="33" spans="1:15" ht="14.45" customHeight="1">
      <c r="A33" s="17"/>
      <c r="B33" s="17" t="s">
        <v>449</v>
      </c>
      <c r="C33" s="920" t="s">
        <v>342</v>
      </c>
      <c r="D33" s="151" t="s">
        <v>124</v>
      </c>
      <c r="E33" s="151" t="s">
        <v>127</v>
      </c>
      <c r="F33" s="920" t="s">
        <v>121</v>
      </c>
      <c r="G33" s="151">
        <v>1996</v>
      </c>
      <c r="H33" s="920" t="s">
        <v>128</v>
      </c>
      <c r="I33" s="934">
        <v>0.98140000000000005</v>
      </c>
      <c r="J33" s="935">
        <v>125.73840851322136</v>
      </c>
      <c r="K33" s="936">
        <f>I33*J33/100</f>
        <v>1.2339967411487545</v>
      </c>
      <c r="L33" s="937">
        <f>K33*euro_to_pound</f>
        <v>1.4561161545555301</v>
      </c>
      <c r="M33" s="938">
        <f>K33*sek_to_pound</f>
        <v>14.820300861196541</v>
      </c>
      <c r="N33" s="938">
        <f>K33*huf_to_pound</f>
        <v>515.11959962513606</v>
      </c>
      <c r="O33" s="938">
        <f>K33*ron_to_pound</f>
        <v>7.1571810986627753</v>
      </c>
    </row>
    <row r="34" spans="1:15" ht="14.45" customHeight="1">
      <c r="A34" s="17"/>
      <c r="B34" s="17"/>
      <c r="C34" s="151"/>
      <c r="D34" s="151"/>
      <c r="E34" s="151"/>
      <c r="F34" s="151"/>
      <c r="G34" s="151"/>
      <c r="H34" s="151"/>
      <c r="I34" s="944"/>
      <c r="J34" s="948"/>
      <c r="K34" s="943"/>
      <c r="L34" s="937"/>
    </row>
    <row r="35" spans="1:15" ht="14.45" customHeight="1">
      <c r="A35" s="17" t="s">
        <v>109</v>
      </c>
      <c r="B35" s="17"/>
      <c r="C35" s="49"/>
      <c r="D35" s="49"/>
      <c r="E35" s="49"/>
      <c r="F35" s="49"/>
      <c r="G35" s="49"/>
      <c r="H35" s="49"/>
      <c r="I35" s="941"/>
      <c r="J35" s="942"/>
      <c r="K35" s="943"/>
      <c r="L35" s="937"/>
    </row>
    <row r="36" spans="1:15" ht="14.45" customHeight="1">
      <c r="A36" s="17" t="s">
        <v>24</v>
      </c>
      <c r="B36" s="13"/>
      <c r="C36" s="67"/>
      <c r="D36" s="67"/>
      <c r="E36" s="67"/>
      <c r="F36" s="67"/>
      <c r="G36" s="67"/>
      <c r="H36" s="67"/>
      <c r="I36" s="949"/>
      <c r="J36" s="950"/>
      <c r="K36" s="943"/>
      <c r="L36" s="937"/>
    </row>
    <row r="37" spans="1:15" ht="14.45" customHeight="1">
      <c r="A37" s="17"/>
      <c r="B37" s="40" t="s">
        <v>433</v>
      </c>
      <c r="C37" s="920" t="s">
        <v>342</v>
      </c>
      <c r="D37" s="920" t="s">
        <v>124</v>
      </c>
      <c r="E37" s="920" t="s">
        <v>126</v>
      </c>
      <c r="F37" s="920" t="s">
        <v>121</v>
      </c>
      <c r="G37" s="151">
        <v>1997</v>
      </c>
      <c r="H37" s="920" t="s">
        <v>118</v>
      </c>
      <c r="I37" s="951">
        <v>1652728.587089655</v>
      </c>
      <c r="J37" s="935">
        <v>125.73840851322136</v>
      </c>
      <c r="K37" s="952">
        <f t="shared" ref="K37:K43" si="1">I37*J37/100</f>
        <v>2078114.622449582</v>
      </c>
      <c r="L37" s="953">
        <f t="shared" ref="L37:L43" si="2">K37*euro_to_pound</f>
        <v>2452175.2544905068</v>
      </c>
      <c r="M37" s="953">
        <f t="shared" ref="M37:M43" si="3">K37*sek_to_pound</f>
        <v>24958156.615619481</v>
      </c>
      <c r="N37" s="953">
        <f t="shared" ref="N37:N43" si="4">K37*huf_to_pound</f>
        <v>867488167.99535346</v>
      </c>
      <c r="O37" s="953">
        <f t="shared" ref="O37:O43" si="5">K37*ron_to_pound</f>
        <v>12053064.810207576</v>
      </c>
    </row>
    <row r="38" spans="1:15" ht="14.45" customHeight="1">
      <c r="A38" s="17"/>
      <c r="B38" s="40"/>
      <c r="C38" s="920" t="s">
        <v>359</v>
      </c>
      <c r="D38" s="151" t="s">
        <v>130</v>
      </c>
      <c r="E38" s="920" t="s">
        <v>343</v>
      </c>
      <c r="F38" s="920" t="s">
        <v>129</v>
      </c>
      <c r="G38" s="151">
        <v>2017</v>
      </c>
      <c r="H38" s="920" t="s">
        <v>118</v>
      </c>
      <c r="I38" s="954">
        <v>50250</v>
      </c>
      <c r="J38" s="935">
        <v>107</v>
      </c>
      <c r="K38" s="952">
        <f t="shared" si="1"/>
        <v>53767.5</v>
      </c>
      <c r="L38" s="953">
        <f t="shared" si="2"/>
        <v>63445.649999999994</v>
      </c>
      <c r="M38" s="953">
        <f t="shared" si="3"/>
        <v>645747.67500000005</v>
      </c>
      <c r="N38" s="953">
        <f t="shared" si="4"/>
        <v>22444705.199999999</v>
      </c>
      <c r="O38" s="953">
        <f t="shared" si="5"/>
        <v>311851.5</v>
      </c>
    </row>
    <row r="39" spans="1:15" ht="14.45" customHeight="1">
      <c r="A39" s="17"/>
      <c r="B39" s="40" t="s">
        <v>434</v>
      </c>
      <c r="C39" s="920" t="s">
        <v>342</v>
      </c>
      <c r="D39" s="920" t="s">
        <v>124</v>
      </c>
      <c r="E39" s="920" t="s">
        <v>126</v>
      </c>
      <c r="F39" s="920" t="s">
        <v>121</v>
      </c>
      <c r="G39" s="151">
        <v>1997</v>
      </c>
      <c r="H39" s="920" t="s">
        <v>336</v>
      </c>
      <c r="I39" s="951">
        <v>184492.13707878318</v>
      </c>
      <c r="J39" s="935">
        <v>125.73840851322136</v>
      </c>
      <c r="K39" s="952">
        <f t="shared" si="1"/>
        <v>231977.47699489273</v>
      </c>
      <c r="L39" s="953">
        <f t="shared" si="2"/>
        <v>273733.4228539734</v>
      </c>
      <c r="M39" s="953">
        <f t="shared" si="3"/>
        <v>2786049.4987086616</v>
      </c>
      <c r="N39" s="953">
        <f t="shared" si="4"/>
        <v>96836677.996748015</v>
      </c>
      <c r="O39" s="953">
        <f t="shared" si="5"/>
        <v>1345469.3665703777</v>
      </c>
    </row>
    <row r="40" spans="1:15" ht="14.45" customHeight="1">
      <c r="A40" s="17"/>
      <c r="B40" s="40"/>
      <c r="C40" s="920" t="s">
        <v>359</v>
      </c>
      <c r="D40" s="151" t="s">
        <v>130</v>
      </c>
      <c r="E40" s="920" t="s">
        <v>343</v>
      </c>
      <c r="F40" s="920" t="s">
        <v>129</v>
      </c>
      <c r="G40" s="151">
        <v>2017</v>
      </c>
      <c r="H40" s="920" t="s">
        <v>336</v>
      </c>
      <c r="I40" s="954">
        <v>13900</v>
      </c>
      <c r="J40" s="935">
        <v>107</v>
      </c>
      <c r="K40" s="952">
        <f t="shared" si="1"/>
        <v>14873</v>
      </c>
      <c r="L40" s="953">
        <f t="shared" si="2"/>
        <v>17550.14</v>
      </c>
      <c r="M40" s="953">
        <f t="shared" si="3"/>
        <v>178624.73</v>
      </c>
      <c r="N40" s="953">
        <f t="shared" si="4"/>
        <v>6208585.1200000001</v>
      </c>
      <c r="O40" s="953">
        <f t="shared" si="5"/>
        <v>86263.4</v>
      </c>
    </row>
    <row r="41" spans="1:15" ht="14.45" customHeight="1">
      <c r="A41" s="17"/>
      <c r="B41" s="40" t="s">
        <v>435</v>
      </c>
      <c r="C41" s="920" t="s">
        <v>342</v>
      </c>
      <c r="D41" s="920" t="s">
        <v>124</v>
      </c>
      <c r="E41" s="920" t="s">
        <v>126</v>
      </c>
      <c r="F41" s="920" t="s">
        <v>121</v>
      </c>
      <c r="G41" s="151">
        <v>1997</v>
      </c>
      <c r="H41" s="920" t="s">
        <v>337</v>
      </c>
      <c r="I41" s="951">
        <v>14190.584678981531</v>
      </c>
      <c r="J41" s="935">
        <v>125.73840851322136</v>
      </c>
      <c r="K41" s="952">
        <f t="shared" si="1"/>
        <v>17843.015334072399</v>
      </c>
      <c r="L41" s="953">
        <f t="shared" si="2"/>
        <v>21054.75809420543</v>
      </c>
      <c r="M41" s="953">
        <f t="shared" si="3"/>
        <v>214294.6141622095</v>
      </c>
      <c r="N41" s="953">
        <f t="shared" si="4"/>
        <v>7448388.3210551823</v>
      </c>
      <c r="O41" s="953">
        <f t="shared" si="5"/>
        <v>103489.48893761991</v>
      </c>
    </row>
    <row r="42" spans="1:15" ht="14.45" customHeight="1">
      <c r="A42" s="17"/>
      <c r="B42" s="40"/>
      <c r="C42" s="920" t="s">
        <v>359</v>
      </c>
      <c r="D42" s="151" t="s">
        <v>130</v>
      </c>
      <c r="E42" s="920" t="s">
        <v>343</v>
      </c>
      <c r="F42" s="920" t="s">
        <v>129</v>
      </c>
      <c r="G42" s="151">
        <v>2017</v>
      </c>
      <c r="H42" s="920" t="s">
        <v>337</v>
      </c>
      <c r="I42" s="954">
        <v>4600</v>
      </c>
      <c r="J42" s="935">
        <v>107</v>
      </c>
      <c r="K42" s="952">
        <f t="shared" si="1"/>
        <v>4922</v>
      </c>
      <c r="L42" s="953">
        <f t="shared" si="2"/>
        <v>5807.96</v>
      </c>
      <c r="M42" s="953">
        <f t="shared" si="3"/>
        <v>59113.22</v>
      </c>
      <c r="N42" s="953">
        <f t="shared" si="4"/>
        <v>2054639.68</v>
      </c>
      <c r="O42" s="953">
        <f t="shared" si="5"/>
        <v>28547.599999999999</v>
      </c>
    </row>
    <row r="43" spans="1:15" ht="14.45" customHeight="1">
      <c r="A43" s="17"/>
      <c r="B43" s="40" t="s">
        <v>436</v>
      </c>
      <c r="C43" s="920" t="s">
        <v>359</v>
      </c>
      <c r="D43" s="151" t="s">
        <v>130</v>
      </c>
      <c r="E43" s="920" t="s">
        <v>343</v>
      </c>
      <c r="F43" s="920" t="s">
        <v>129</v>
      </c>
      <c r="G43" s="151">
        <v>2017</v>
      </c>
      <c r="H43" s="920" t="s">
        <v>375</v>
      </c>
      <c r="I43" s="954">
        <v>15</v>
      </c>
      <c r="J43" s="935">
        <v>107</v>
      </c>
      <c r="K43" s="955">
        <f t="shared" si="1"/>
        <v>16.05</v>
      </c>
      <c r="L43" s="938">
        <f t="shared" si="2"/>
        <v>18.939</v>
      </c>
      <c r="M43" s="938">
        <f t="shared" si="3"/>
        <v>192.76050000000001</v>
      </c>
      <c r="N43" s="938">
        <f t="shared" si="4"/>
        <v>6699.9120000000003</v>
      </c>
      <c r="O43" s="938">
        <f t="shared" si="5"/>
        <v>93.09</v>
      </c>
    </row>
    <row r="44" spans="1:15" ht="14.45" customHeight="1">
      <c r="A44" s="17"/>
      <c r="B44" s="47" t="s">
        <v>437</v>
      </c>
      <c r="C44" s="920" t="s">
        <v>123</v>
      </c>
      <c r="D44" s="920" t="s">
        <v>554</v>
      </c>
      <c r="E44" s="151" t="s">
        <v>123</v>
      </c>
      <c r="F44" s="920" t="s">
        <v>121</v>
      </c>
      <c r="G44" s="151">
        <v>2018</v>
      </c>
      <c r="H44" s="920" t="s">
        <v>117</v>
      </c>
      <c r="I44" s="934"/>
      <c r="J44" s="935"/>
      <c r="K44" s="936"/>
      <c r="L44" s="937"/>
      <c r="M44" s="945"/>
      <c r="N44" s="945"/>
      <c r="O44" s="945"/>
    </row>
    <row r="45" spans="1:15" ht="14.45" customHeight="1">
      <c r="A45" s="17" t="s">
        <v>25</v>
      </c>
      <c r="B45" s="13"/>
      <c r="C45" s="151"/>
      <c r="D45" s="151"/>
      <c r="E45" s="151"/>
      <c r="F45" s="151"/>
      <c r="G45" s="151"/>
      <c r="H45" s="151"/>
      <c r="I45" s="45"/>
      <c r="J45" s="948"/>
      <c r="K45" s="943"/>
      <c r="L45" s="937"/>
    </row>
    <row r="46" spans="1:15" ht="14.45" customHeight="1">
      <c r="A46" s="17"/>
      <c r="B46" s="17" t="s">
        <v>438</v>
      </c>
      <c r="C46" s="920" t="s">
        <v>342</v>
      </c>
      <c r="D46" s="920" t="s">
        <v>124</v>
      </c>
      <c r="E46" s="920" t="s">
        <v>126</v>
      </c>
      <c r="F46" s="920" t="s">
        <v>121</v>
      </c>
      <c r="G46" s="920" t="s">
        <v>343</v>
      </c>
      <c r="H46" s="920" t="s">
        <v>338</v>
      </c>
      <c r="I46" s="951">
        <v>60.793635358829505</v>
      </c>
      <c r="J46" s="935">
        <v>125.73840851322136</v>
      </c>
      <c r="K46" s="955">
        <f>I46*J46/100</f>
        <v>76.440949577523227</v>
      </c>
      <c r="L46" s="938">
        <f>K46*euro_to_pound</f>
        <v>90.200320501477407</v>
      </c>
      <c r="M46" s="938">
        <f>K46*sek_to_pound</f>
        <v>918.0558044260539</v>
      </c>
      <c r="N46" s="938">
        <f>K46*huf_to_pound</f>
        <v>31909.509991641295</v>
      </c>
      <c r="O46" s="938">
        <f>K46*ron_to_pound</f>
        <v>443.3575075496347</v>
      </c>
    </row>
    <row r="47" spans="1:15" ht="14.45" customHeight="1">
      <c r="B47" s="13" t="s">
        <v>439</v>
      </c>
      <c r="C47" s="920" t="s">
        <v>342</v>
      </c>
      <c r="D47" s="920" t="s">
        <v>124</v>
      </c>
      <c r="E47" s="920" t="s">
        <v>343</v>
      </c>
      <c r="F47" s="920" t="s">
        <v>121</v>
      </c>
      <c r="G47" s="920" t="s">
        <v>343</v>
      </c>
      <c r="H47" s="872" t="s">
        <v>563</v>
      </c>
      <c r="I47" s="956">
        <f>13.6470744085687*ppl_per_household</f>
        <v>32.752978580564879</v>
      </c>
      <c r="J47" s="935">
        <v>125.73840851322136</v>
      </c>
      <c r="K47" s="955">
        <f>I47*J47/100</f>
        <v>41.18307400787856</v>
      </c>
      <c r="L47" s="938">
        <f>K47*euro_to_pound</f>
        <v>48.596027329296696</v>
      </c>
      <c r="M47" s="938">
        <f>K47*sek_to_pound</f>
        <v>494.60871883462147</v>
      </c>
      <c r="N47" s="938">
        <f>K47*huf_to_pound</f>
        <v>17191.462413848825</v>
      </c>
      <c r="O47" s="938">
        <f>K47*ron_to_pound</f>
        <v>238.86182924569565</v>
      </c>
    </row>
    <row r="48" spans="1:15" ht="14.45" customHeight="1">
      <c r="C48" s="920" t="s">
        <v>342</v>
      </c>
      <c r="D48" s="920" t="s">
        <v>124</v>
      </c>
      <c r="E48" s="872" t="s">
        <v>343</v>
      </c>
      <c r="F48" s="872" t="s">
        <v>121</v>
      </c>
      <c r="G48" s="872" t="s">
        <v>343</v>
      </c>
      <c r="H48" s="872" t="s">
        <v>564</v>
      </c>
      <c r="I48" s="957">
        <f>108.399792797743*ppl_per_household</f>
        <v>260.1595027145832</v>
      </c>
      <c r="J48" s="935">
        <v>125.73840851322136</v>
      </c>
      <c r="K48" s="955">
        <f>I48*J48/100</f>
        <v>327.12041830922783</v>
      </c>
      <c r="L48" s="938">
        <f>K48*euro_to_pound</f>
        <v>386.00209360488884</v>
      </c>
      <c r="M48" s="938">
        <f>K48*sek_to_pound</f>
        <v>3928.7162238938263</v>
      </c>
      <c r="N48" s="938">
        <f>K48*huf_to_pound</f>
        <v>136553.14741900406</v>
      </c>
      <c r="O48" s="938">
        <f>K48*ron_to_pound</f>
        <v>1897.2984261935214</v>
      </c>
    </row>
    <row r="49" spans="1:15" ht="14.45" customHeight="1">
      <c r="C49" s="920" t="s">
        <v>359</v>
      </c>
      <c r="D49" s="151" t="s">
        <v>130</v>
      </c>
      <c r="E49" s="920" t="s">
        <v>343</v>
      </c>
      <c r="F49" s="920" t="s">
        <v>129</v>
      </c>
      <c r="G49" s="151">
        <v>2017</v>
      </c>
      <c r="H49" s="872" t="s">
        <v>441</v>
      </c>
      <c r="I49" s="954">
        <v>7800</v>
      </c>
      <c r="J49" s="935">
        <v>107</v>
      </c>
      <c r="K49" s="952">
        <f t="shared" ref="K49:K50" si="6">I49*J49/100</f>
        <v>8346</v>
      </c>
      <c r="L49" s="953">
        <f>K49*euro_to_pound</f>
        <v>9848.2799999999988</v>
      </c>
      <c r="M49" s="953">
        <f>K49*sek_to_pound</f>
        <v>100235.45999999999</v>
      </c>
      <c r="N49" s="953">
        <f>K49*huf_to_pound</f>
        <v>3483954.2399999998</v>
      </c>
      <c r="O49" s="953">
        <f>K49*ron_to_pound</f>
        <v>48406.799999999996</v>
      </c>
    </row>
    <row r="50" spans="1:15" ht="14.45" customHeight="1">
      <c r="C50" s="920" t="s">
        <v>359</v>
      </c>
      <c r="D50" s="151" t="s">
        <v>130</v>
      </c>
      <c r="E50" s="920" t="s">
        <v>343</v>
      </c>
      <c r="F50" s="920" t="s">
        <v>129</v>
      </c>
      <c r="G50" s="151">
        <v>2017</v>
      </c>
      <c r="H50" s="872" t="s">
        <v>442</v>
      </c>
      <c r="I50" s="954">
        <v>1960</v>
      </c>
      <c r="J50" s="935">
        <v>107</v>
      </c>
      <c r="K50" s="952">
        <f t="shared" si="6"/>
        <v>2097.1999999999998</v>
      </c>
      <c r="L50" s="953">
        <f>K50*euro_to_pound</f>
        <v>2474.6959999999995</v>
      </c>
      <c r="M50" s="953">
        <f>K50*sek_to_pound</f>
        <v>25187.371999999996</v>
      </c>
      <c r="N50" s="953">
        <f>K50*huf_to_pound</f>
        <v>875455.16799999995</v>
      </c>
      <c r="O50" s="953">
        <f>K50*ron_to_pound</f>
        <v>12163.759999999998</v>
      </c>
    </row>
    <row r="51" spans="1:15" ht="14.45" customHeight="1"/>
    <row r="52" spans="1:15" ht="14.45" customHeight="1">
      <c r="A52" s="17"/>
      <c r="B52" s="17" t="s">
        <v>440</v>
      </c>
      <c r="C52" s="920" t="s">
        <v>342</v>
      </c>
      <c r="D52" s="151" t="s">
        <v>124</v>
      </c>
      <c r="E52" s="151" t="s">
        <v>125</v>
      </c>
      <c r="F52" s="920" t="s">
        <v>121</v>
      </c>
      <c r="G52" s="151">
        <v>2010</v>
      </c>
      <c r="H52" s="920" t="s">
        <v>407</v>
      </c>
    </row>
    <row r="53" spans="1:15" ht="14.45" customHeight="1">
      <c r="A53" s="17"/>
      <c r="B53" s="17"/>
      <c r="C53" s="920" t="s">
        <v>359</v>
      </c>
      <c r="D53" s="151" t="s">
        <v>130</v>
      </c>
      <c r="E53" s="920" t="s">
        <v>343</v>
      </c>
      <c r="F53" s="920" t="s">
        <v>129</v>
      </c>
      <c r="G53" s="151">
        <v>2017</v>
      </c>
      <c r="H53" s="920" t="s">
        <v>408</v>
      </c>
    </row>
    <row r="54" spans="1:15" ht="14.45" customHeight="1">
      <c r="A54" s="17"/>
      <c r="B54" s="17"/>
      <c r="C54" s="920"/>
      <c r="D54" s="151"/>
      <c r="E54" s="151"/>
      <c r="F54" s="920"/>
      <c r="G54" s="151"/>
      <c r="H54" s="1"/>
      <c r="I54" s="1" t="s">
        <v>565</v>
      </c>
    </row>
    <row r="55" spans="1:15" ht="14.45" customHeight="1">
      <c r="A55" s="17"/>
      <c r="B55" s="17"/>
      <c r="C55" s="920"/>
      <c r="D55" s="151"/>
      <c r="E55" s="151"/>
      <c r="F55" s="920"/>
      <c r="G55" s="151"/>
      <c r="H55" s="872">
        <v>45</v>
      </c>
      <c r="I55" s="958">
        <f>0*ppl_per_household</f>
        <v>0</v>
      </c>
      <c r="J55" s="1">
        <v>126</v>
      </c>
      <c r="K55" s="952">
        <f>I55*J55/100</f>
        <v>0</v>
      </c>
      <c r="L55" s="953">
        <f t="shared" ref="L55:L90" si="7">K55*euro_to_pound</f>
        <v>0</v>
      </c>
      <c r="M55" s="953">
        <f t="shared" ref="M55:M90" si="8">K55*sek_to_pound</f>
        <v>0</v>
      </c>
      <c r="N55" s="953">
        <f t="shared" ref="N55:N90" si="9">K55*huf_to_pound</f>
        <v>0</v>
      </c>
      <c r="O55" s="953">
        <f t="shared" ref="O55:O90" si="10">K55*ron_to_pound</f>
        <v>0</v>
      </c>
    </row>
    <row r="56" spans="1:15" ht="14.45" customHeight="1">
      <c r="A56" s="17"/>
      <c r="B56" s="17"/>
      <c r="C56" s="920"/>
      <c r="D56" s="151"/>
      <c r="E56" s="151"/>
      <c r="F56" s="920"/>
      <c r="G56" s="151"/>
      <c r="H56" s="959">
        <v>46</v>
      </c>
      <c r="I56" s="958">
        <f>9.89657983810732*ppl_per_household</f>
        <v>23.751791611457566</v>
      </c>
      <c r="J56" s="1">
        <v>126</v>
      </c>
      <c r="K56" s="952">
        <f t="shared" ref="K56:K89" si="11">I56*J56/100</f>
        <v>29.927257430436534</v>
      </c>
      <c r="L56" s="953">
        <f t="shared" si="7"/>
        <v>35.314163767915105</v>
      </c>
      <c r="M56" s="953">
        <f t="shared" si="8"/>
        <v>359.42636173954276</v>
      </c>
      <c r="N56" s="953">
        <f t="shared" si="9"/>
        <v>12492.834341761427</v>
      </c>
      <c r="O56" s="953">
        <f t="shared" si="10"/>
        <v>173.57809309653189</v>
      </c>
    </row>
    <row r="57" spans="1:15" ht="14.45" customHeight="1">
      <c r="A57" s="17"/>
      <c r="B57" s="17"/>
      <c r="C57" s="920"/>
      <c r="D57" s="151"/>
      <c r="E57" s="151"/>
      <c r="F57" s="920"/>
      <c r="G57" s="151"/>
      <c r="H57" s="959">
        <v>47</v>
      </c>
      <c r="I57" s="958">
        <f>19.9757479642806*ppl_per_household</f>
        <v>47.94179511427344</v>
      </c>
      <c r="J57" s="1">
        <v>126</v>
      </c>
      <c r="K57" s="952">
        <f t="shared" si="11"/>
        <v>60.40666184398453</v>
      </c>
      <c r="L57" s="953">
        <f t="shared" si="7"/>
        <v>71.279860975901741</v>
      </c>
      <c r="M57" s="953">
        <f t="shared" si="8"/>
        <v>725.48400874625418</v>
      </c>
      <c r="N57" s="953">
        <f t="shared" si="9"/>
        <v>25216.156920152902</v>
      </c>
      <c r="O57" s="953">
        <f t="shared" si="10"/>
        <v>350.35863869511024</v>
      </c>
    </row>
    <row r="58" spans="1:15" ht="14.45" customHeight="1">
      <c r="A58" s="17"/>
      <c r="B58" s="17"/>
      <c r="C58" s="920"/>
      <c r="D58" s="151"/>
      <c r="E58" s="151"/>
      <c r="F58" s="920"/>
      <c r="G58" s="151"/>
      <c r="H58" s="959">
        <v>48</v>
      </c>
      <c r="I58" s="958">
        <f>36.0771969294866*ppl_per_household</f>
        <v>86.585272630767832</v>
      </c>
      <c r="J58" s="1">
        <v>126</v>
      </c>
      <c r="K58" s="952">
        <f t="shared" si="11"/>
        <v>109.09744351476748</v>
      </c>
      <c r="L58" s="953">
        <f t="shared" si="7"/>
        <v>128.73498334742561</v>
      </c>
      <c r="M58" s="953">
        <f t="shared" si="8"/>
        <v>1310.2602966123575</v>
      </c>
      <c r="N58" s="953">
        <f t="shared" si="9"/>
        <v>45541.636820804539</v>
      </c>
      <c r="O58" s="953">
        <f t="shared" si="10"/>
        <v>632.76517238565134</v>
      </c>
    </row>
    <row r="59" spans="1:15" ht="14.45" customHeight="1">
      <c r="A59" s="17"/>
      <c r="B59" s="17"/>
      <c r="C59" s="920"/>
      <c r="D59" s="151"/>
      <c r="E59" s="151"/>
      <c r="F59" s="920"/>
      <c r="G59" s="151"/>
      <c r="H59" s="959">
        <v>49</v>
      </c>
      <c r="I59" s="958">
        <f>52.5969053284286*ppl_per_household</f>
        <v>126.23257278822862</v>
      </c>
      <c r="J59" s="1">
        <v>126</v>
      </c>
      <c r="K59" s="952">
        <f t="shared" si="11"/>
        <v>159.05304171316806</v>
      </c>
      <c r="L59" s="953">
        <f t="shared" si="7"/>
        <v>187.68258922153831</v>
      </c>
      <c r="M59" s="953">
        <f t="shared" si="8"/>
        <v>1910.2270309751484</v>
      </c>
      <c r="N59" s="953">
        <f t="shared" si="9"/>
        <v>66395.101732744879</v>
      </c>
      <c r="O59" s="953">
        <f t="shared" si="10"/>
        <v>922.50764193637474</v>
      </c>
    </row>
    <row r="60" spans="1:15" ht="14.45" customHeight="1">
      <c r="A60" s="17"/>
      <c r="B60" s="17"/>
      <c r="C60" s="920"/>
      <c r="D60" s="151"/>
      <c r="E60" s="151"/>
      <c r="F60" s="920"/>
      <c r="G60" s="151"/>
      <c r="H60" s="959">
        <v>50</v>
      </c>
      <c r="I60" s="958">
        <f>69.6462028833701*ppl_per_household</f>
        <v>167.15088692008823</v>
      </c>
      <c r="J60" s="1">
        <v>126</v>
      </c>
      <c r="K60" s="952">
        <f t="shared" si="11"/>
        <v>210.61011751931116</v>
      </c>
      <c r="L60" s="953">
        <f t="shared" si="7"/>
        <v>248.51993867278716</v>
      </c>
      <c r="M60" s="953">
        <f t="shared" si="8"/>
        <v>2529.4275114069269</v>
      </c>
      <c r="N60" s="953">
        <f t="shared" si="9"/>
        <v>87917.087457261252</v>
      </c>
      <c r="O60" s="953">
        <f t="shared" si="10"/>
        <v>1221.5386816120047</v>
      </c>
    </row>
    <row r="61" spans="1:15" ht="14.45" customHeight="1">
      <c r="A61" s="17"/>
      <c r="B61" s="17"/>
      <c r="C61" s="920"/>
      <c r="D61" s="151"/>
      <c r="E61" s="151"/>
      <c r="F61" s="920"/>
      <c r="G61" s="151"/>
      <c r="H61" s="959">
        <v>51</v>
      </c>
      <c r="I61" s="958">
        <f>87.3364194066697*ppl_per_household</f>
        <v>209.60740657600729</v>
      </c>
      <c r="J61" s="1">
        <v>126</v>
      </c>
      <c r="K61" s="952">
        <f t="shared" si="11"/>
        <v>264.10533228576918</v>
      </c>
      <c r="L61" s="953">
        <f t="shared" si="7"/>
        <v>311.6442920972076</v>
      </c>
      <c r="M61" s="953">
        <f t="shared" si="8"/>
        <v>3171.9050407520876</v>
      </c>
      <c r="N61" s="953">
        <f t="shared" si="9"/>
        <v>110248.12990937149</v>
      </c>
      <c r="O61" s="953">
        <f t="shared" si="10"/>
        <v>1531.8109272574611</v>
      </c>
    </row>
    <row r="62" spans="1:15" ht="14.45" customHeight="1">
      <c r="A62" s="17"/>
      <c r="B62" s="17"/>
      <c r="C62" s="920"/>
      <c r="D62" s="151"/>
      <c r="E62" s="151"/>
      <c r="F62" s="920"/>
      <c r="G62" s="151"/>
      <c r="H62" s="959">
        <v>52</v>
      </c>
      <c r="I62" s="958">
        <f>105.77888480106*ppl_per_household</f>
        <v>253.86932352254399</v>
      </c>
      <c r="J62" s="1">
        <v>126</v>
      </c>
      <c r="K62" s="952">
        <f t="shared" si="11"/>
        <v>319.87534763840546</v>
      </c>
      <c r="L62" s="953">
        <f t="shared" si="7"/>
        <v>377.45291021331843</v>
      </c>
      <c r="M62" s="953">
        <f t="shared" si="8"/>
        <v>3841.7029251372496</v>
      </c>
      <c r="N62" s="953">
        <f t="shared" si="9"/>
        <v>133528.76511817597</v>
      </c>
      <c r="O62" s="953">
        <f t="shared" si="10"/>
        <v>1855.2770163027517</v>
      </c>
    </row>
    <row r="63" spans="1:15" ht="14.45" customHeight="1">
      <c r="A63" s="17"/>
      <c r="B63" s="17"/>
      <c r="C63" s="920"/>
      <c r="D63" s="151"/>
      <c r="E63" s="151"/>
      <c r="F63" s="920"/>
      <c r="G63" s="151"/>
      <c r="H63" s="959">
        <v>53</v>
      </c>
      <c r="I63" s="958">
        <f>147.572042266773*ppl_per_household</f>
        <v>354.1729014402552</v>
      </c>
      <c r="J63" s="1">
        <v>126</v>
      </c>
      <c r="K63" s="952">
        <f t="shared" si="11"/>
        <v>446.25785581472155</v>
      </c>
      <c r="L63" s="953">
        <f t="shared" si="7"/>
        <v>526.58426986137135</v>
      </c>
      <c r="M63" s="953">
        <f t="shared" si="8"/>
        <v>5359.5568483348061</v>
      </c>
      <c r="N63" s="953">
        <f t="shared" si="9"/>
        <v>186285.87933129736</v>
      </c>
      <c r="O63" s="953">
        <f t="shared" si="10"/>
        <v>2588.2955637253849</v>
      </c>
    </row>
    <row r="64" spans="1:15" ht="14.45" customHeight="1">
      <c r="A64" s="17"/>
      <c r="B64" s="17"/>
      <c r="C64" s="920"/>
      <c r="D64" s="151"/>
      <c r="E64" s="151"/>
      <c r="F64" s="920"/>
      <c r="G64" s="151"/>
      <c r="H64" s="959">
        <v>54</v>
      </c>
      <c r="I64" s="958">
        <f>192.374066647348*ppl_per_household</f>
        <v>461.69775995363517</v>
      </c>
      <c r="J64" s="1">
        <v>126</v>
      </c>
      <c r="K64" s="952">
        <f t="shared" si="11"/>
        <v>581.73917754158026</v>
      </c>
      <c r="L64" s="953">
        <f t="shared" si="7"/>
        <v>686.45222949906463</v>
      </c>
      <c r="M64" s="953">
        <f t="shared" si="8"/>
        <v>6986.6875222743793</v>
      </c>
      <c r="N64" s="953">
        <f t="shared" si="9"/>
        <v>242841.20227295725</v>
      </c>
      <c r="O64" s="953">
        <f t="shared" si="10"/>
        <v>3374.0872297411656</v>
      </c>
    </row>
    <row r="65" spans="1:15" ht="14.45" customHeight="1">
      <c r="A65" s="17"/>
      <c r="B65" s="17"/>
      <c r="C65" s="920"/>
      <c r="D65" s="151"/>
      <c r="E65" s="151"/>
      <c r="F65" s="920"/>
      <c r="G65" s="151"/>
      <c r="H65" s="959">
        <v>55</v>
      </c>
      <c r="I65" s="958">
        <f>240.296288118319*ppl_per_household</f>
        <v>576.71109148396556</v>
      </c>
      <c r="J65" s="1">
        <v>126</v>
      </c>
      <c r="K65" s="952">
        <f t="shared" si="11"/>
        <v>726.65597526979661</v>
      </c>
      <c r="L65" s="953">
        <f t="shared" si="7"/>
        <v>857.45405081835997</v>
      </c>
      <c r="M65" s="953">
        <f t="shared" si="8"/>
        <v>8727.1382629902564</v>
      </c>
      <c r="N65" s="953">
        <f t="shared" si="9"/>
        <v>303335.27031662391</v>
      </c>
      <c r="O65" s="953">
        <f t="shared" si="10"/>
        <v>4214.6046565648203</v>
      </c>
    </row>
    <row r="66" spans="1:15" ht="14.45" customHeight="1">
      <c r="A66" s="17"/>
      <c r="B66" s="17"/>
      <c r="C66" s="920"/>
      <c r="D66" s="151"/>
      <c r="E66" s="151"/>
      <c r="F66" s="920"/>
      <c r="G66" s="151"/>
      <c r="H66" s="959">
        <v>56</v>
      </c>
      <c r="I66" s="958">
        <f>291.450036946727*ppl_per_household</f>
        <v>699.48008867214469</v>
      </c>
      <c r="J66" s="1">
        <v>126</v>
      </c>
      <c r="K66" s="952">
        <f t="shared" si="11"/>
        <v>881.34491172690241</v>
      </c>
      <c r="L66" s="953">
        <f t="shared" si="7"/>
        <v>1039.9869958377449</v>
      </c>
      <c r="M66" s="953">
        <f t="shared" si="8"/>
        <v>10584.952389840098</v>
      </c>
      <c r="N66" s="953">
        <f t="shared" si="9"/>
        <v>367908.61995127815</v>
      </c>
      <c r="O66" s="953">
        <f t="shared" si="10"/>
        <v>5111.8004880160343</v>
      </c>
    </row>
    <row r="67" spans="1:15" ht="14.45" customHeight="1">
      <c r="A67" s="17"/>
      <c r="B67" s="17"/>
      <c r="C67" s="920"/>
      <c r="D67" s="151"/>
      <c r="E67" s="151"/>
      <c r="F67" s="920"/>
      <c r="G67" s="151"/>
      <c r="H67" s="959">
        <v>57</v>
      </c>
      <c r="I67" s="958">
        <f>347.306425946384*ppl_per_household</f>
        <v>833.53542227132164</v>
      </c>
      <c r="J67" s="1">
        <v>126</v>
      </c>
      <c r="K67" s="952">
        <f t="shared" si="11"/>
        <v>1050.2546320618653</v>
      </c>
      <c r="L67" s="953">
        <f t="shared" si="7"/>
        <v>1239.300465833001</v>
      </c>
      <c r="M67" s="953">
        <f t="shared" si="8"/>
        <v>12613.558131063002</v>
      </c>
      <c r="N67" s="953">
        <f t="shared" si="9"/>
        <v>438418.29360790504</v>
      </c>
      <c r="O67" s="953">
        <f t="shared" si="10"/>
        <v>6091.476865958819</v>
      </c>
    </row>
    <row r="68" spans="1:15" ht="14.45" customHeight="1">
      <c r="A68" s="17"/>
      <c r="B68" s="17"/>
      <c r="C68" s="920"/>
      <c r="D68" s="151"/>
      <c r="E68" s="151"/>
      <c r="F68" s="920"/>
      <c r="G68" s="151"/>
      <c r="H68" s="959">
        <v>58</v>
      </c>
      <c r="I68" s="958">
        <f>407.945675289682*ppl_per_household</f>
        <v>979.06962069523684</v>
      </c>
      <c r="J68" s="1">
        <v>126</v>
      </c>
      <c r="K68" s="952">
        <f t="shared" si="11"/>
        <v>1233.6277220759985</v>
      </c>
      <c r="L68" s="953">
        <f t="shared" si="7"/>
        <v>1455.680712049678</v>
      </c>
      <c r="M68" s="953">
        <f t="shared" si="8"/>
        <v>14815.868942132742</v>
      </c>
      <c r="N68" s="953">
        <f t="shared" si="9"/>
        <v>514965.5563034048</v>
      </c>
      <c r="O68" s="953">
        <f t="shared" si="10"/>
        <v>7155.0407880407911</v>
      </c>
    </row>
    <row r="69" spans="1:15" ht="14.45" customHeight="1">
      <c r="A69" s="17"/>
      <c r="B69" s="17"/>
      <c r="C69" s="920"/>
      <c r="D69" s="151"/>
      <c r="E69" s="151"/>
      <c r="F69" s="920"/>
      <c r="G69" s="151"/>
      <c r="H69" s="959">
        <v>59</v>
      </c>
      <c r="I69" s="958">
        <f>473.26881051443*ppl_per_household</f>
        <v>1135.8451452346319</v>
      </c>
      <c r="J69" s="1">
        <v>126</v>
      </c>
      <c r="K69" s="952">
        <f t="shared" si="11"/>
        <v>1431.1648829956362</v>
      </c>
      <c r="L69" s="953">
        <f t="shared" si="7"/>
        <v>1688.7745619348507</v>
      </c>
      <c r="M69" s="953">
        <f t="shared" si="8"/>
        <v>17188.290244777589</v>
      </c>
      <c r="N69" s="953">
        <f t="shared" si="9"/>
        <v>597425.46875769831</v>
      </c>
      <c r="O69" s="953">
        <f t="shared" si="10"/>
        <v>8300.7563213746889</v>
      </c>
    </row>
    <row r="70" spans="1:15" ht="14.45" customHeight="1">
      <c r="A70" s="17"/>
      <c r="B70" s="17"/>
      <c r="C70" s="920"/>
      <c r="D70" s="151"/>
      <c r="E70" s="151"/>
      <c r="F70" s="920"/>
      <c r="G70" s="151"/>
      <c r="H70" s="959">
        <v>60</v>
      </c>
      <c r="I70" s="958">
        <f>543.421809213957*ppl_per_household</f>
        <v>1304.2123421134968</v>
      </c>
      <c r="J70" s="1">
        <v>126</v>
      </c>
      <c r="K70" s="952">
        <f t="shared" si="11"/>
        <v>1643.3075510630058</v>
      </c>
      <c r="L70" s="953">
        <f t="shared" si="7"/>
        <v>1939.1029102543469</v>
      </c>
      <c r="M70" s="953">
        <f t="shared" si="8"/>
        <v>19736.1236882667</v>
      </c>
      <c r="N70" s="953">
        <f t="shared" si="9"/>
        <v>685982.30411574116</v>
      </c>
      <c r="O70" s="953">
        <f t="shared" si="10"/>
        <v>9531.1837961654328</v>
      </c>
    </row>
    <row r="71" spans="1:15" ht="14.45" customHeight="1">
      <c r="A71" s="17"/>
      <c r="B71" s="17"/>
      <c r="C71" s="920"/>
      <c r="D71" s="151"/>
      <c r="E71" s="151"/>
      <c r="F71" s="920"/>
      <c r="G71" s="151"/>
      <c r="H71" s="959">
        <v>61</v>
      </c>
      <c r="I71" s="958">
        <f>618.550649074523*ppl_per_household</f>
        <v>1484.5215577788551</v>
      </c>
      <c r="J71" s="1">
        <v>126</v>
      </c>
      <c r="K71" s="952">
        <f t="shared" si="11"/>
        <v>1870.4971628013573</v>
      </c>
      <c r="L71" s="953">
        <f t="shared" si="7"/>
        <v>2207.1866521056013</v>
      </c>
      <c r="M71" s="953">
        <f t="shared" si="8"/>
        <v>22464.6709252443</v>
      </c>
      <c r="N71" s="953">
        <f t="shared" si="9"/>
        <v>780820.33563979855</v>
      </c>
      <c r="O71" s="953">
        <f t="shared" si="10"/>
        <v>10848.883544247872</v>
      </c>
    </row>
    <row r="72" spans="1:15" ht="14.45" customHeight="1">
      <c r="A72" s="17"/>
      <c r="B72" s="17"/>
      <c r="C72" s="920"/>
      <c r="D72" s="151"/>
      <c r="E72" s="151"/>
      <c r="F72" s="920"/>
      <c r="G72" s="151"/>
      <c r="H72" s="959">
        <v>62</v>
      </c>
      <c r="I72" s="958">
        <f>698.801307875601*ppl_per_household</f>
        <v>1677.1231389014422</v>
      </c>
      <c r="J72" s="1">
        <v>126</v>
      </c>
      <c r="K72" s="952">
        <f t="shared" si="11"/>
        <v>2113.1751550158169</v>
      </c>
      <c r="L72" s="953">
        <f t="shared" si="7"/>
        <v>2493.5466829186639</v>
      </c>
      <c r="M72" s="953">
        <f t="shared" si="8"/>
        <v>25379.233611739961</v>
      </c>
      <c r="N72" s="953">
        <f t="shared" si="9"/>
        <v>882123.83670980262</v>
      </c>
      <c r="O72" s="953">
        <f t="shared" si="10"/>
        <v>12256.415899091739</v>
      </c>
    </row>
    <row r="73" spans="1:15" ht="14.45" customHeight="1">
      <c r="A73" s="17"/>
      <c r="B73" s="17"/>
      <c r="C73" s="920"/>
      <c r="D73" s="151"/>
      <c r="E73" s="151"/>
      <c r="F73" s="920"/>
      <c r="G73" s="151"/>
      <c r="H73" s="959">
        <v>63</v>
      </c>
      <c r="I73" s="958">
        <f>784.31976349018*ppl_per_household</f>
        <v>1882.3674323764319</v>
      </c>
      <c r="J73" s="1">
        <v>126</v>
      </c>
      <c r="K73" s="952">
        <f t="shared" si="11"/>
        <v>2371.7829647943045</v>
      </c>
      <c r="L73" s="953">
        <f t="shared" si="7"/>
        <v>2798.7038984572791</v>
      </c>
      <c r="M73" s="953">
        <f t="shared" si="8"/>
        <v>28485.113407179597</v>
      </c>
      <c r="N73" s="953">
        <f t="shared" si="9"/>
        <v>990077.0808237344</v>
      </c>
      <c r="O73" s="953">
        <f t="shared" si="10"/>
        <v>13756.341195806965</v>
      </c>
    </row>
    <row r="74" spans="1:15" ht="14.45" customHeight="1">
      <c r="A74" s="17"/>
      <c r="B74" s="17"/>
      <c r="C74" s="920"/>
      <c r="D74" s="151"/>
      <c r="E74" s="151"/>
      <c r="F74" s="920"/>
      <c r="G74" s="151"/>
      <c r="H74" s="959">
        <v>64</v>
      </c>
      <c r="I74" s="958">
        <f>875.251993885045*ppl_per_household</f>
        <v>2100.604785324108</v>
      </c>
      <c r="J74" s="1">
        <v>126</v>
      </c>
      <c r="K74" s="952">
        <f t="shared" si="11"/>
        <v>2646.7620295083761</v>
      </c>
      <c r="L74" s="953">
        <f t="shared" si="7"/>
        <v>3123.1791948198838</v>
      </c>
      <c r="M74" s="953">
        <f t="shared" si="8"/>
        <v>31787.611974395597</v>
      </c>
      <c r="N74" s="953">
        <f t="shared" si="9"/>
        <v>1104864.3415979766</v>
      </c>
      <c r="O74" s="953">
        <f t="shared" si="10"/>
        <v>15351.219771148581</v>
      </c>
    </row>
    <row r="75" spans="1:15" ht="14.45" customHeight="1">
      <c r="A75" s="17"/>
      <c r="B75" s="17"/>
      <c r="C75" s="920"/>
      <c r="D75" s="151"/>
      <c r="E75" s="151"/>
      <c r="F75" s="920"/>
      <c r="G75" s="151"/>
      <c r="H75" s="959">
        <v>65</v>
      </c>
      <c r="I75" s="958">
        <f>971.743977121076*ppl_per_household</f>
        <v>2332.1855450905823</v>
      </c>
      <c r="J75" s="1">
        <v>126</v>
      </c>
      <c r="K75" s="952">
        <f t="shared" si="11"/>
        <v>2938.5537868141337</v>
      </c>
      <c r="L75" s="953">
        <f t="shared" si="7"/>
        <v>3467.4934684406776</v>
      </c>
      <c r="M75" s="953">
        <f t="shared" si="8"/>
        <v>35292.030979637748</v>
      </c>
      <c r="N75" s="953">
        <f t="shared" si="9"/>
        <v>1226669.892767692</v>
      </c>
      <c r="O75" s="953">
        <f t="shared" si="10"/>
        <v>17043.611963521977</v>
      </c>
    </row>
    <row r="76" spans="1:15" ht="14.45" customHeight="1">
      <c r="A76" s="17"/>
      <c r="B76" s="17"/>
      <c r="C76" s="920"/>
      <c r="D76" s="151"/>
      <c r="E76" s="151"/>
      <c r="F76" s="920"/>
      <c r="G76" s="151"/>
      <c r="H76" s="959">
        <v>66</v>
      </c>
      <c r="I76" s="958">
        <f>1073.94169135353*ppl_per_household</f>
        <v>2577.4600592484717</v>
      </c>
      <c r="J76" s="1">
        <v>126</v>
      </c>
      <c r="K76" s="952">
        <f t="shared" si="11"/>
        <v>3247.5996746530745</v>
      </c>
      <c r="L76" s="953">
        <f t="shared" si="7"/>
        <v>3832.1676160906277</v>
      </c>
      <c r="M76" s="953">
        <f t="shared" si="8"/>
        <v>39003.672092583423</v>
      </c>
      <c r="N76" s="953">
        <f t="shared" si="9"/>
        <v>1355678.0081871795</v>
      </c>
      <c r="O76" s="953">
        <f t="shared" si="10"/>
        <v>18836.078112987831</v>
      </c>
    </row>
    <row r="77" spans="1:15" ht="14.45" customHeight="1">
      <c r="A77" s="17"/>
      <c r="B77" s="17"/>
      <c r="C77" s="920"/>
      <c r="D77" s="151"/>
      <c r="E77" s="151"/>
      <c r="F77" s="920"/>
      <c r="G77" s="151"/>
      <c r="H77" s="959">
        <v>67</v>
      </c>
      <c r="I77" s="958">
        <f>1181.99111483236*ppl_per_household</f>
        <v>2836.7786755976636</v>
      </c>
      <c r="J77" s="1">
        <v>126</v>
      </c>
      <c r="K77" s="952">
        <f t="shared" si="11"/>
        <v>3574.3411312530561</v>
      </c>
      <c r="L77" s="953">
        <f t="shared" si="7"/>
        <v>4217.722534878606</v>
      </c>
      <c r="M77" s="953">
        <f t="shared" si="8"/>
        <v>42927.836986349204</v>
      </c>
      <c r="N77" s="953">
        <f t="shared" si="9"/>
        <v>1492072.9618302758</v>
      </c>
      <c r="O77" s="953">
        <f t="shared" si="10"/>
        <v>20731.178561267723</v>
      </c>
    </row>
    <row r="78" spans="1:15" ht="14.45" customHeight="1">
      <c r="A78" s="17"/>
      <c r="B78" s="17"/>
      <c r="C78" s="920"/>
      <c r="D78" s="151"/>
      <c r="E78" s="151"/>
      <c r="F78" s="920"/>
      <c r="G78" s="151"/>
      <c r="H78" s="959">
        <v>68</v>
      </c>
      <c r="I78" s="958">
        <f>1296.03822590248*ppl_per_household</f>
        <v>3110.491742165952</v>
      </c>
      <c r="J78" s="1">
        <v>126</v>
      </c>
      <c r="K78" s="952">
        <f t="shared" si="11"/>
        <v>3919.2195951290992</v>
      </c>
      <c r="L78" s="953">
        <f t="shared" si="7"/>
        <v>4624.679122252337</v>
      </c>
      <c r="M78" s="953">
        <f t="shared" si="8"/>
        <v>47069.827337500479</v>
      </c>
      <c r="N78" s="953">
        <f t="shared" si="9"/>
        <v>1636039.0277906912</v>
      </c>
      <c r="O78" s="953">
        <f t="shared" si="10"/>
        <v>22731.473651748773</v>
      </c>
    </row>
    <row r="79" spans="1:15" ht="14.45" customHeight="1">
      <c r="A79" s="17"/>
      <c r="B79" s="17"/>
      <c r="C79" s="920"/>
      <c r="D79" s="151"/>
      <c r="E79" s="151"/>
      <c r="F79" s="920"/>
      <c r="G79" s="151"/>
      <c r="H79" s="959">
        <v>69</v>
      </c>
      <c r="I79" s="958">
        <f>1416.22900300408*ppl_per_household</f>
        <v>3398.9496072097918</v>
      </c>
      <c r="J79" s="1">
        <v>126</v>
      </c>
      <c r="K79" s="952">
        <f t="shared" si="11"/>
        <v>4282.6765050843378</v>
      </c>
      <c r="L79" s="953">
        <f t="shared" si="7"/>
        <v>5053.5582759995186</v>
      </c>
      <c r="M79" s="953">
        <f t="shared" si="8"/>
        <v>51434.9448260629</v>
      </c>
      <c r="N79" s="953">
        <f t="shared" si="9"/>
        <v>1787760.4802824059</v>
      </c>
      <c r="O79" s="953">
        <f t="shared" si="10"/>
        <v>24839.523729489159</v>
      </c>
    </row>
    <row r="80" spans="1:15" ht="14.45" customHeight="1">
      <c r="A80" s="17"/>
      <c r="B80" s="17"/>
      <c r="C80" s="920"/>
      <c r="D80" s="151"/>
      <c r="E80" s="151"/>
      <c r="F80" s="920"/>
      <c r="G80" s="151"/>
      <c r="H80" s="959">
        <v>70</v>
      </c>
      <c r="I80" s="958">
        <f>1542.70942467291*ppl_per_household</f>
        <v>3702.502619214984</v>
      </c>
      <c r="J80" s="1">
        <v>126</v>
      </c>
      <c r="K80" s="952">
        <f t="shared" si="11"/>
        <v>4665.1533002108799</v>
      </c>
      <c r="L80" s="953">
        <f t="shared" si="7"/>
        <v>5504.8808942488376</v>
      </c>
      <c r="M80" s="953">
        <f t="shared" si="8"/>
        <v>56028.491135532669</v>
      </c>
      <c r="N80" s="953">
        <f t="shared" si="9"/>
        <v>1947421.5936400297</v>
      </c>
      <c r="O80" s="953">
        <f t="shared" si="10"/>
        <v>27057.889141223102</v>
      </c>
    </row>
    <row r="81" spans="1:15" ht="14.45" customHeight="1">
      <c r="A81" s="17"/>
      <c r="B81" s="17"/>
      <c r="C81" s="920"/>
      <c r="D81" s="151"/>
      <c r="E81" s="151"/>
      <c r="F81" s="920"/>
      <c r="G81" s="151"/>
      <c r="H81" s="959">
        <v>71</v>
      </c>
      <c r="I81" s="958">
        <f>1675.6254695406*ppl_per_household</f>
        <v>4021.5011268974399</v>
      </c>
      <c r="J81" s="1">
        <v>126</v>
      </c>
      <c r="K81" s="952">
        <f t="shared" si="11"/>
        <v>5067.091419890774</v>
      </c>
      <c r="L81" s="953">
        <f t="shared" si="7"/>
        <v>5979.1678754711129</v>
      </c>
      <c r="M81" s="953">
        <f t="shared" si="8"/>
        <v>60855.767952888193</v>
      </c>
      <c r="N81" s="953">
        <f t="shared" si="9"/>
        <v>2115206.6423192048</v>
      </c>
      <c r="O81" s="953">
        <f t="shared" si="10"/>
        <v>29389.130235366487</v>
      </c>
    </row>
    <row r="82" spans="1:15" ht="14.45" customHeight="1">
      <c r="A82" s="17"/>
      <c r="B82" s="17"/>
      <c r="C82" s="920"/>
      <c r="D82" s="151"/>
      <c r="E82" s="151"/>
      <c r="F82" s="920"/>
      <c r="G82" s="151"/>
      <c r="H82" s="959">
        <v>72</v>
      </c>
      <c r="I82" s="958">
        <f>1815.12311633492*ppl_per_household</f>
        <v>4356.2954792038081</v>
      </c>
      <c r="J82" s="1">
        <v>126</v>
      </c>
      <c r="K82" s="952">
        <f t="shared" si="11"/>
        <v>5488.9323037967979</v>
      </c>
      <c r="L82" s="953">
        <f t="shared" si="7"/>
        <v>6476.9401184802209</v>
      </c>
      <c r="M82" s="953">
        <f t="shared" si="8"/>
        <v>65922.076968599547</v>
      </c>
      <c r="N82" s="953">
        <f t="shared" si="9"/>
        <v>2291299.9008969353</v>
      </c>
      <c r="O82" s="953">
        <f t="shared" si="10"/>
        <v>31835.807362021427</v>
      </c>
    </row>
    <row r="83" spans="1:15" ht="14.45" customHeight="1">
      <c r="A83" s="17"/>
      <c r="B83" s="17"/>
      <c r="C83" s="920"/>
      <c r="D83" s="151"/>
      <c r="E83" s="151"/>
      <c r="F83" s="920"/>
      <c r="G83" s="151"/>
      <c r="H83" s="959">
        <v>73</v>
      </c>
      <c r="I83" s="958">
        <f>1961.34834388015*ppl_per_household</f>
        <v>4707.2360253123597</v>
      </c>
      <c r="J83" s="1">
        <v>126</v>
      </c>
      <c r="K83" s="952">
        <f t="shared" si="11"/>
        <v>5931.1173918935738</v>
      </c>
      <c r="L83" s="953">
        <f t="shared" si="7"/>
        <v>6998.7185224344166</v>
      </c>
      <c r="M83" s="953">
        <f t="shared" si="8"/>
        <v>71232.719876641815</v>
      </c>
      <c r="N83" s="953">
        <f t="shared" si="9"/>
        <v>2475885.6440720535</v>
      </c>
      <c r="O83" s="953">
        <f t="shared" si="10"/>
        <v>34400.480872982727</v>
      </c>
    </row>
    <row r="84" spans="1:15" ht="14.45" customHeight="1">
      <c r="A84" s="17"/>
      <c r="B84" s="17"/>
      <c r="C84" s="920"/>
      <c r="D84" s="151"/>
      <c r="E84" s="151"/>
      <c r="F84" s="920"/>
      <c r="G84" s="151"/>
      <c r="H84" s="959">
        <v>74</v>
      </c>
      <c r="I84" s="958">
        <f>2114.44713109728*ppl_per_household</f>
        <v>5074.6731146334714</v>
      </c>
      <c r="J84" s="1">
        <v>126</v>
      </c>
      <c r="K84" s="952">
        <f t="shared" si="11"/>
        <v>6394.0881244381735</v>
      </c>
      <c r="L84" s="953">
        <f t="shared" si="7"/>
        <v>7545.0239868370445</v>
      </c>
      <c r="M84" s="953">
        <f t="shared" si="8"/>
        <v>76792.998374502466</v>
      </c>
      <c r="N84" s="953">
        <f t="shared" si="9"/>
        <v>2669148.1466654711</v>
      </c>
      <c r="O84" s="953">
        <f t="shared" si="10"/>
        <v>37085.711121741406</v>
      </c>
    </row>
    <row r="85" spans="1:15" ht="14.45" customHeight="1">
      <c r="A85" s="17"/>
      <c r="B85" s="17"/>
      <c r="C85" s="920"/>
      <c r="D85" s="151"/>
      <c r="E85" s="151"/>
      <c r="F85" s="920"/>
      <c r="G85" s="151"/>
      <c r="H85" s="959">
        <v>75</v>
      </c>
      <c r="I85" s="958">
        <f>2274.56545700442*ppl_per_household</f>
        <v>5458.9570968106073</v>
      </c>
      <c r="J85" s="1">
        <v>126</v>
      </c>
      <c r="K85" s="952">
        <f t="shared" si="11"/>
        <v>6878.2859419813649</v>
      </c>
      <c r="L85" s="953">
        <f t="shared" si="7"/>
        <v>8116.3774115380102</v>
      </c>
      <c r="M85" s="953">
        <f t="shared" si="8"/>
        <v>82608.214163196186</v>
      </c>
      <c r="N85" s="953">
        <f t="shared" si="9"/>
        <v>2871271.6836207011</v>
      </c>
      <c r="O85" s="953">
        <f t="shared" si="10"/>
        <v>39894.058463491914</v>
      </c>
    </row>
    <row r="86" spans="1:15" ht="14.45" customHeight="1">
      <c r="D86" s="960"/>
      <c r="E86" s="960"/>
      <c r="F86" s="960"/>
      <c r="G86" s="959"/>
      <c r="H86" s="959">
        <v>76</v>
      </c>
      <c r="I86" s="958">
        <f>2439.81534275095*ppl_per_household</f>
        <v>5855.5568226022797</v>
      </c>
      <c r="J86" s="1">
        <v>126</v>
      </c>
      <c r="K86" s="952">
        <f t="shared" si="11"/>
        <v>7378.0015964788727</v>
      </c>
      <c r="L86" s="953">
        <f t="shared" si="7"/>
        <v>8706.0418838450696</v>
      </c>
      <c r="M86" s="953">
        <f t="shared" si="8"/>
        <v>88609.799173711261</v>
      </c>
      <c r="N86" s="953">
        <f t="shared" si="9"/>
        <v>3079872.9864341407</v>
      </c>
      <c r="O86" s="953">
        <f t="shared" si="10"/>
        <v>42792.409259577464</v>
      </c>
    </row>
    <row r="87" spans="1:15" ht="14.45" customHeight="1">
      <c r="D87" s="960"/>
      <c r="G87" s="959"/>
      <c r="H87" s="959">
        <v>77</v>
      </c>
      <c r="I87" s="958">
        <f>2606.80724090244*ppl_per_household</f>
        <v>6256.3373781658556</v>
      </c>
      <c r="J87" s="1">
        <v>126</v>
      </c>
      <c r="K87" s="952">
        <f t="shared" si="11"/>
        <v>7882.9850964889783</v>
      </c>
      <c r="L87" s="953">
        <f t="shared" si="7"/>
        <v>9301.9224138569934</v>
      </c>
      <c r="M87" s="953">
        <f t="shared" si="8"/>
        <v>94674.651008832632</v>
      </c>
      <c r="N87" s="953">
        <f t="shared" si="9"/>
        <v>3290673.298678359</v>
      </c>
      <c r="O87" s="953">
        <f t="shared" si="10"/>
        <v>45721.313559636073</v>
      </c>
    </row>
    <row r="88" spans="1:15" ht="14.45" customHeight="1">
      <c r="C88" s="1"/>
      <c r="D88" s="1"/>
      <c r="E88" s="1"/>
      <c r="H88" s="959">
        <v>78</v>
      </c>
      <c r="I88" s="958">
        <f>2775.57579841632*ppl_per_household</f>
        <v>6661.3819161991678</v>
      </c>
      <c r="J88" s="1">
        <v>126</v>
      </c>
      <c r="K88" s="952">
        <f t="shared" si="11"/>
        <v>8393.3412144109516</v>
      </c>
      <c r="L88" s="953">
        <f t="shared" si="7"/>
        <v>9904.1426330049217</v>
      </c>
      <c r="M88" s="953">
        <f t="shared" si="8"/>
        <v>100804.02798507553</v>
      </c>
      <c r="N88" s="953">
        <f t="shared" si="9"/>
        <v>3503716.3565437077</v>
      </c>
      <c r="O88" s="953">
        <f t="shared" si="10"/>
        <v>48681.379043583518</v>
      </c>
    </row>
    <row r="89" spans="1:15" ht="14.45" customHeight="1">
      <c r="C89" s="1"/>
      <c r="D89" s="1"/>
      <c r="E89" s="1"/>
      <c r="H89" s="959">
        <v>79</v>
      </c>
      <c r="I89" s="958">
        <f>2946.15566225004*ppl_per_household</f>
        <v>7070.7735894000962</v>
      </c>
      <c r="J89" s="1">
        <v>126</v>
      </c>
      <c r="K89" s="952">
        <f t="shared" si="11"/>
        <v>8909.1747226441203</v>
      </c>
      <c r="L89" s="953">
        <f t="shared" si="7"/>
        <v>10512.826172720061</v>
      </c>
      <c r="M89" s="953">
        <f t="shared" si="8"/>
        <v>106999.18841895588</v>
      </c>
      <c r="N89" s="953">
        <f t="shared" si="9"/>
        <v>3719045.8962205616</v>
      </c>
      <c r="O89" s="953">
        <f t="shared" si="10"/>
        <v>51673.213391335899</v>
      </c>
    </row>
    <row r="90" spans="1:15" ht="14.45" customHeight="1">
      <c r="C90" s="1"/>
      <c r="D90" s="1"/>
      <c r="E90" s="1"/>
      <c r="H90" s="959">
        <v>80</v>
      </c>
      <c r="I90" s="958">
        <f>2946.15566225004*ppl_per_household</f>
        <v>7070.7735894000962</v>
      </c>
      <c r="J90" s="1">
        <v>126</v>
      </c>
      <c r="K90" s="952">
        <f t="shared" ref="K90" si="12">I90*J90/100</f>
        <v>8909.1747226441203</v>
      </c>
      <c r="L90" s="953">
        <f t="shared" si="7"/>
        <v>10512.826172720061</v>
      </c>
      <c r="M90" s="953">
        <f t="shared" si="8"/>
        <v>106999.18841895588</v>
      </c>
      <c r="N90" s="953">
        <f t="shared" si="9"/>
        <v>3719045.8962205616</v>
      </c>
      <c r="O90" s="953">
        <f t="shared" si="10"/>
        <v>51673.213391335899</v>
      </c>
    </row>
    <row r="91" spans="1:15" ht="14.45" customHeight="1">
      <c r="C91" s="1"/>
      <c r="D91" s="1"/>
      <c r="E91" s="1"/>
      <c r="H91" s="959"/>
      <c r="I91" s="940"/>
      <c r="K91" s="959"/>
    </row>
    <row r="92" spans="1:15" ht="14.45" customHeight="1">
      <c r="A92" s="17"/>
      <c r="B92" s="17"/>
      <c r="C92" s="920"/>
      <c r="D92" s="151"/>
      <c r="E92" s="151"/>
      <c r="F92" s="920"/>
      <c r="G92" s="151"/>
      <c r="H92" s="959"/>
      <c r="I92" s="1" t="s">
        <v>406</v>
      </c>
      <c r="K92" s="959"/>
    </row>
    <row r="93" spans="1:15" ht="14.45" customHeight="1">
      <c r="A93" s="17"/>
      <c r="B93" s="17"/>
      <c r="C93" s="920"/>
      <c r="D93" s="151"/>
      <c r="E93" s="151"/>
      <c r="F93" s="920"/>
      <c r="G93" s="151"/>
      <c r="H93" s="872">
        <v>45</v>
      </c>
      <c r="I93" s="954">
        <v>0</v>
      </c>
      <c r="J93" s="1">
        <v>107</v>
      </c>
      <c r="K93" s="953">
        <f t="shared" ref="K93:K128" si="13">M93*pound_to_sek</f>
        <v>0</v>
      </c>
      <c r="L93" s="953">
        <f t="shared" ref="L93:L128" si="14">M93*euro_to_sek</f>
        <v>0</v>
      </c>
      <c r="M93" s="952">
        <f t="shared" ref="M93:M98" si="15">I93*J93/100</f>
        <v>0</v>
      </c>
      <c r="N93" s="953">
        <f t="shared" ref="N93:N128" si="16">M93*huf_to_sek</f>
        <v>0</v>
      </c>
      <c r="O93" s="953">
        <f t="shared" ref="O93:O128" si="17">M93*ron_to_sek</f>
        <v>0</v>
      </c>
    </row>
    <row r="94" spans="1:15" ht="14.45" customHeight="1">
      <c r="A94" s="17"/>
      <c r="B94" s="17"/>
      <c r="C94" s="920"/>
      <c r="D94" s="151"/>
      <c r="E94" s="151"/>
      <c r="F94" s="920"/>
      <c r="G94" s="151"/>
      <c r="H94" s="959">
        <v>46</v>
      </c>
      <c r="I94" s="954">
        <v>0</v>
      </c>
      <c r="J94" s="1">
        <v>107</v>
      </c>
      <c r="K94" s="953">
        <f t="shared" si="13"/>
        <v>0</v>
      </c>
      <c r="L94" s="953">
        <f t="shared" si="14"/>
        <v>0</v>
      </c>
      <c r="M94" s="952">
        <f t="shared" si="15"/>
        <v>0</v>
      </c>
      <c r="N94" s="953">
        <f t="shared" si="16"/>
        <v>0</v>
      </c>
      <c r="O94" s="953">
        <f t="shared" si="17"/>
        <v>0</v>
      </c>
    </row>
    <row r="95" spans="1:15" ht="14.45" customHeight="1">
      <c r="A95" s="17"/>
      <c r="B95" s="17"/>
      <c r="C95" s="920"/>
      <c r="D95" s="151"/>
      <c r="E95" s="151"/>
      <c r="F95" s="920"/>
      <c r="G95" s="151"/>
      <c r="H95" s="959">
        <v>47</v>
      </c>
      <c r="I95" s="954">
        <v>0</v>
      </c>
      <c r="J95" s="1">
        <v>107</v>
      </c>
      <c r="K95" s="953">
        <f t="shared" si="13"/>
        <v>0</v>
      </c>
      <c r="L95" s="953">
        <f t="shared" si="14"/>
        <v>0</v>
      </c>
      <c r="M95" s="952">
        <f t="shared" si="15"/>
        <v>0</v>
      </c>
      <c r="N95" s="953">
        <f t="shared" si="16"/>
        <v>0</v>
      </c>
      <c r="O95" s="953">
        <f t="shared" si="17"/>
        <v>0</v>
      </c>
    </row>
    <row r="96" spans="1:15" ht="14.45" customHeight="1">
      <c r="A96" s="17"/>
      <c r="B96" s="17"/>
      <c r="C96" s="920"/>
      <c r="D96" s="151"/>
      <c r="E96" s="151"/>
      <c r="F96" s="920"/>
      <c r="G96" s="151"/>
      <c r="H96" s="959">
        <v>48</v>
      </c>
      <c r="I96" s="954">
        <v>0</v>
      </c>
      <c r="J96" s="1">
        <v>107</v>
      </c>
      <c r="K96" s="953">
        <f t="shared" si="13"/>
        <v>0</v>
      </c>
      <c r="L96" s="953">
        <f t="shared" si="14"/>
        <v>0</v>
      </c>
      <c r="M96" s="952">
        <f t="shared" si="15"/>
        <v>0</v>
      </c>
      <c r="N96" s="953">
        <f t="shared" si="16"/>
        <v>0</v>
      </c>
      <c r="O96" s="953">
        <f t="shared" si="17"/>
        <v>0</v>
      </c>
    </row>
    <row r="97" spans="1:15" ht="14.45" customHeight="1">
      <c r="A97" s="17"/>
      <c r="B97" s="17"/>
      <c r="C97" s="920"/>
      <c r="D97" s="151"/>
      <c r="E97" s="151"/>
      <c r="F97" s="920"/>
      <c r="G97" s="151"/>
      <c r="H97" s="959">
        <v>49</v>
      </c>
      <c r="I97" s="954">
        <v>0</v>
      </c>
      <c r="J97" s="1">
        <v>107</v>
      </c>
      <c r="K97" s="953">
        <f t="shared" si="13"/>
        <v>0</v>
      </c>
      <c r="L97" s="953">
        <f t="shared" si="14"/>
        <v>0</v>
      </c>
      <c r="M97" s="952">
        <f t="shared" si="15"/>
        <v>0</v>
      </c>
      <c r="N97" s="953">
        <f t="shared" si="16"/>
        <v>0</v>
      </c>
      <c r="O97" s="953">
        <f t="shared" si="17"/>
        <v>0</v>
      </c>
    </row>
    <row r="98" spans="1:15" ht="14.45" customHeight="1">
      <c r="A98" s="17"/>
      <c r="B98" s="17"/>
      <c r="C98" s="920"/>
      <c r="D98" s="151"/>
      <c r="E98" s="151"/>
      <c r="F98" s="920"/>
      <c r="G98" s="151"/>
      <c r="H98" s="959">
        <v>50</v>
      </c>
      <c r="I98" s="954">
        <v>168</v>
      </c>
      <c r="J98" s="1">
        <v>107</v>
      </c>
      <c r="K98" s="953">
        <f t="shared" si="13"/>
        <v>14.92008</v>
      </c>
      <c r="L98" s="953">
        <f t="shared" si="14"/>
        <v>17.616479999999999</v>
      </c>
      <c r="M98" s="952">
        <f t="shared" si="15"/>
        <v>179.76</v>
      </c>
      <c r="N98" s="953">
        <f t="shared" si="16"/>
        <v>6246.66</v>
      </c>
      <c r="O98" s="953">
        <f t="shared" si="17"/>
        <v>86.28479999999999</v>
      </c>
    </row>
    <row r="99" spans="1:15" ht="14.45" customHeight="1">
      <c r="A99" s="17"/>
      <c r="B99" s="17"/>
      <c r="C99" s="920"/>
      <c r="D99" s="151"/>
      <c r="E99" s="151"/>
      <c r="F99" s="920"/>
      <c r="G99" s="151"/>
      <c r="H99" s="959">
        <v>51</v>
      </c>
      <c r="I99" s="954">
        <v>525</v>
      </c>
      <c r="J99" s="1">
        <v>107</v>
      </c>
      <c r="K99" s="953">
        <f t="shared" si="13"/>
        <v>46.625250000000001</v>
      </c>
      <c r="L99" s="953">
        <f t="shared" si="14"/>
        <v>55.051500000000004</v>
      </c>
      <c r="M99" s="952">
        <f t="shared" ref="M99:M128" si="18">I99*J99/100</f>
        <v>561.75</v>
      </c>
      <c r="N99" s="953">
        <f t="shared" si="16"/>
        <v>19520.8125</v>
      </c>
      <c r="O99" s="953">
        <f t="shared" si="17"/>
        <v>269.64</v>
      </c>
    </row>
    <row r="100" spans="1:15" ht="14.45" customHeight="1">
      <c r="A100" s="17"/>
      <c r="B100" s="17"/>
      <c r="C100" s="920"/>
      <c r="D100" s="151"/>
      <c r="E100" s="151"/>
      <c r="F100" s="920"/>
      <c r="G100" s="151"/>
      <c r="H100" s="959">
        <v>52</v>
      </c>
      <c r="I100" s="954">
        <v>1071</v>
      </c>
      <c r="J100" s="1">
        <v>107</v>
      </c>
      <c r="K100" s="953">
        <f t="shared" si="13"/>
        <v>95.11551</v>
      </c>
      <c r="L100" s="953">
        <f t="shared" si="14"/>
        <v>112.30506000000001</v>
      </c>
      <c r="M100" s="952">
        <f t="shared" si="18"/>
        <v>1145.97</v>
      </c>
      <c r="N100" s="953">
        <f t="shared" si="16"/>
        <v>39822.457500000004</v>
      </c>
      <c r="O100" s="953">
        <f t="shared" si="17"/>
        <v>550.06560000000002</v>
      </c>
    </row>
    <row r="101" spans="1:15" ht="14.45" customHeight="1">
      <c r="A101" s="17"/>
      <c r="B101" s="17"/>
      <c r="C101" s="920"/>
      <c r="D101" s="151"/>
      <c r="E101" s="151"/>
      <c r="F101" s="920"/>
      <c r="G101" s="151"/>
      <c r="H101" s="959">
        <v>53</v>
      </c>
      <c r="I101" s="954">
        <v>1804</v>
      </c>
      <c r="J101" s="1">
        <v>107</v>
      </c>
      <c r="K101" s="953">
        <f t="shared" si="13"/>
        <v>160.21324000000001</v>
      </c>
      <c r="L101" s="953">
        <f t="shared" si="14"/>
        <v>189.16744</v>
      </c>
      <c r="M101" s="952">
        <f t="shared" si="18"/>
        <v>1930.28</v>
      </c>
      <c r="N101" s="953">
        <f t="shared" si="16"/>
        <v>67077.23</v>
      </c>
      <c r="O101" s="953">
        <f t="shared" si="17"/>
        <v>926.53440000000001</v>
      </c>
    </row>
    <row r="102" spans="1:15" ht="14.45" customHeight="1">
      <c r="A102" s="17"/>
      <c r="B102" s="17"/>
      <c r="C102" s="920"/>
      <c r="D102" s="151"/>
      <c r="E102" s="151"/>
      <c r="F102" s="920"/>
      <c r="G102" s="151"/>
      <c r="H102" s="959">
        <v>54</v>
      </c>
      <c r="I102" s="954">
        <v>2726</v>
      </c>
      <c r="J102" s="1">
        <v>107</v>
      </c>
      <c r="K102" s="953">
        <f t="shared" si="13"/>
        <v>242.09606000000002</v>
      </c>
      <c r="L102" s="953">
        <f t="shared" si="14"/>
        <v>285.84836000000001</v>
      </c>
      <c r="M102" s="952">
        <f t="shared" si="18"/>
        <v>2916.82</v>
      </c>
      <c r="N102" s="953">
        <f t="shared" si="16"/>
        <v>101359.49500000001</v>
      </c>
      <c r="O102" s="953">
        <f t="shared" si="17"/>
        <v>1400.0735999999999</v>
      </c>
    </row>
    <row r="103" spans="1:15" ht="14.45" customHeight="1">
      <c r="A103" s="17"/>
      <c r="B103" s="17"/>
      <c r="C103" s="920"/>
      <c r="D103" s="151"/>
      <c r="E103" s="151"/>
      <c r="F103" s="920"/>
      <c r="G103" s="151"/>
      <c r="H103" s="959">
        <v>55</v>
      </c>
      <c r="I103" s="954">
        <v>3836</v>
      </c>
      <c r="J103" s="1">
        <v>107</v>
      </c>
      <c r="K103" s="953">
        <f t="shared" si="13"/>
        <v>340.67516000000006</v>
      </c>
      <c r="L103" s="953">
        <f t="shared" si="14"/>
        <v>402.24296000000004</v>
      </c>
      <c r="M103" s="952">
        <f t="shared" si="18"/>
        <v>4104.5200000000004</v>
      </c>
      <c r="N103" s="953">
        <f t="shared" si="16"/>
        <v>142632.07</v>
      </c>
      <c r="O103" s="953">
        <f t="shared" si="17"/>
        <v>1970.1696000000002</v>
      </c>
    </row>
    <row r="104" spans="1:15" ht="14.45" customHeight="1">
      <c r="A104" s="17"/>
      <c r="B104" s="17"/>
      <c r="C104" s="920"/>
      <c r="D104" s="151"/>
      <c r="E104" s="151"/>
      <c r="F104" s="920"/>
      <c r="G104" s="151"/>
      <c r="H104" s="959">
        <v>56</v>
      </c>
      <c r="I104" s="954">
        <v>5134</v>
      </c>
      <c r="J104" s="1">
        <v>107</v>
      </c>
      <c r="K104" s="953">
        <f t="shared" si="13"/>
        <v>455.95054000000005</v>
      </c>
      <c r="L104" s="953">
        <f t="shared" si="14"/>
        <v>538.35124000000008</v>
      </c>
      <c r="M104" s="952">
        <f t="shared" si="18"/>
        <v>5493.38</v>
      </c>
      <c r="N104" s="953">
        <f t="shared" si="16"/>
        <v>190894.95500000002</v>
      </c>
      <c r="O104" s="953">
        <f t="shared" si="17"/>
        <v>2636.8224</v>
      </c>
    </row>
    <row r="105" spans="1:15" ht="14.45" customHeight="1">
      <c r="A105" s="17"/>
      <c r="B105" s="17"/>
      <c r="C105" s="920"/>
      <c r="D105" s="151"/>
      <c r="E105" s="151"/>
      <c r="F105" s="920"/>
      <c r="G105" s="151"/>
      <c r="H105" s="959">
        <v>57</v>
      </c>
      <c r="I105" s="954">
        <v>6621</v>
      </c>
      <c r="J105" s="1">
        <v>107</v>
      </c>
      <c r="K105" s="953">
        <f t="shared" si="13"/>
        <v>588.01101000000006</v>
      </c>
      <c r="L105" s="953">
        <f t="shared" si="14"/>
        <v>694.2780600000001</v>
      </c>
      <c r="M105" s="952">
        <f t="shared" si="18"/>
        <v>7084.47</v>
      </c>
      <c r="N105" s="953">
        <f t="shared" si="16"/>
        <v>246185.33250000002</v>
      </c>
      <c r="O105" s="953">
        <f t="shared" si="17"/>
        <v>3400.5455999999999</v>
      </c>
    </row>
    <row r="106" spans="1:15" ht="14.45" customHeight="1">
      <c r="A106" s="17"/>
      <c r="B106" s="17"/>
      <c r="C106" s="920"/>
      <c r="D106" s="151"/>
      <c r="E106" s="151"/>
      <c r="F106" s="920"/>
      <c r="G106" s="151"/>
      <c r="H106" s="959">
        <v>58</v>
      </c>
      <c r="I106" s="954">
        <v>8370</v>
      </c>
      <c r="J106" s="1">
        <v>107</v>
      </c>
      <c r="K106" s="953">
        <f t="shared" si="13"/>
        <v>743.33969999999999</v>
      </c>
      <c r="L106" s="953">
        <f t="shared" si="14"/>
        <v>877.67819999999995</v>
      </c>
      <c r="M106" s="952">
        <f t="shared" si="18"/>
        <v>8955.9</v>
      </c>
      <c r="N106" s="953">
        <f t="shared" si="16"/>
        <v>311217.52499999997</v>
      </c>
      <c r="O106" s="953">
        <f t="shared" si="17"/>
        <v>4298.8319999999994</v>
      </c>
    </row>
    <row r="107" spans="1:15" ht="14.45" customHeight="1">
      <c r="A107" s="17"/>
      <c r="B107" s="17"/>
      <c r="C107" s="920"/>
      <c r="D107" s="151"/>
      <c r="E107" s="151"/>
      <c r="F107" s="920"/>
      <c r="G107" s="151"/>
      <c r="H107" s="959">
        <v>59</v>
      </c>
      <c r="I107" s="954">
        <v>10293</v>
      </c>
      <c r="J107" s="1">
        <v>107</v>
      </c>
      <c r="K107" s="953">
        <f t="shared" si="13"/>
        <v>914.12133000000006</v>
      </c>
      <c r="L107" s="953">
        <f t="shared" si="14"/>
        <v>1079.3239800000001</v>
      </c>
      <c r="M107" s="952">
        <f t="shared" si="18"/>
        <v>11013.51</v>
      </c>
      <c r="N107" s="953">
        <f t="shared" si="16"/>
        <v>382719.47250000003</v>
      </c>
      <c r="O107" s="953">
        <f t="shared" si="17"/>
        <v>5286.4848000000002</v>
      </c>
    </row>
    <row r="108" spans="1:15" ht="14.45" customHeight="1">
      <c r="A108" s="17"/>
      <c r="B108" s="17"/>
      <c r="C108" s="920"/>
      <c r="D108" s="151"/>
      <c r="E108" s="151"/>
      <c r="F108" s="920"/>
      <c r="G108" s="151"/>
      <c r="H108" s="959">
        <v>60</v>
      </c>
      <c r="I108" s="954">
        <v>12433</v>
      </c>
      <c r="J108" s="1">
        <v>107</v>
      </c>
      <c r="K108" s="953">
        <f t="shared" si="13"/>
        <v>1104.17473</v>
      </c>
      <c r="L108" s="953">
        <f t="shared" si="14"/>
        <v>1303.7243800000001</v>
      </c>
      <c r="M108" s="952">
        <f t="shared" si="18"/>
        <v>13303.31</v>
      </c>
      <c r="N108" s="953">
        <f t="shared" si="16"/>
        <v>462290.02249999996</v>
      </c>
      <c r="O108" s="953">
        <f t="shared" si="17"/>
        <v>6385.5887999999995</v>
      </c>
    </row>
    <row r="109" spans="1:15" ht="14.45" customHeight="1">
      <c r="A109" s="17"/>
      <c r="B109" s="17"/>
      <c r="C109" s="920"/>
      <c r="D109" s="151"/>
      <c r="E109" s="151"/>
      <c r="F109" s="920"/>
      <c r="G109" s="151"/>
      <c r="H109" s="959">
        <v>61</v>
      </c>
      <c r="I109" s="954">
        <v>14778</v>
      </c>
      <c r="J109" s="1">
        <v>107</v>
      </c>
      <c r="K109" s="953">
        <f t="shared" si="13"/>
        <v>1312.43418</v>
      </c>
      <c r="L109" s="953">
        <f t="shared" si="14"/>
        <v>1549.6210799999999</v>
      </c>
      <c r="M109" s="952">
        <f t="shared" si="18"/>
        <v>15812.46</v>
      </c>
      <c r="N109" s="953">
        <f t="shared" si="16"/>
        <v>549482.98499999999</v>
      </c>
      <c r="O109" s="953">
        <f t="shared" si="17"/>
        <v>7589.9807999999994</v>
      </c>
    </row>
    <row r="110" spans="1:15" ht="14.45" customHeight="1">
      <c r="A110" s="17"/>
      <c r="B110" s="17"/>
      <c r="C110" s="920"/>
      <c r="D110" s="151"/>
      <c r="E110" s="151"/>
      <c r="F110" s="920"/>
      <c r="G110" s="151"/>
      <c r="H110" s="959">
        <v>62</v>
      </c>
      <c r="I110" s="954">
        <v>17340</v>
      </c>
      <c r="J110" s="1">
        <v>107</v>
      </c>
      <c r="K110" s="953">
        <f t="shared" si="13"/>
        <v>1539.9654</v>
      </c>
      <c r="L110" s="953">
        <f t="shared" si="14"/>
        <v>1818.2724000000001</v>
      </c>
      <c r="M110" s="952">
        <f t="shared" si="18"/>
        <v>18553.8</v>
      </c>
      <c r="N110" s="953">
        <f t="shared" si="16"/>
        <v>644744.54999999993</v>
      </c>
      <c r="O110" s="953">
        <f t="shared" si="17"/>
        <v>8905.8239999999987</v>
      </c>
    </row>
    <row r="111" spans="1:15" ht="14.45" customHeight="1">
      <c r="A111" s="17"/>
      <c r="B111" s="17"/>
      <c r="C111" s="920"/>
      <c r="D111" s="151"/>
      <c r="E111" s="151"/>
      <c r="F111" s="920"/>
      <c r="G111" s="151"/>
      <c r="H111" s="959">
        <v>63</v>
      </c>
      <c r="I111" s="954">
        <v>20119</v>
      </c>
      <c r="J111" s="1">
        <v>107</v>
      </c>
      <c r="K111" s="953">
        <f t="shared" si="13"/>
        <v>1786.7683900000002</v>
      </c>
      <c r="L111" s="953">
        <f t="shared" si="14"/>
        <v>2109.6783400000004</v>
      </c>
      <c r="M111" s="952">
        <f t="shared" si="18"/>
        <v>21527.33</v>
      </c>
      <c r="N111" s="953">
        <f t="shared" si="16"/>
        <v>748074.71750000003</v>
      </c>
      <c r="O111" s="953">
        <f t="shared" si="17"/>
        <v>10333.118400000001</v>
      </c>
    </row>
    <row r="112" spans="1:15" ht="14.45" customHeight="1">
      <c r="A112" s="17"/>
      <c r="B112" s="17"/>
      <c r="C112" s="920"/>
      <c r="D112" s="151"/>
      <c r="E112" s="151"/>
      <c r="F112" s="920"/>
      <c r="G112" s="151"/>
      <c r="H112" s="959">
        <v>64</v>
      </c>
      <c r="I112" s="954">
        <v>23103</v>
      </c>
      <c r="J112" s="1">
        <v>107</v>
      </c>
      <c r="K112" s="953">
        <f t="shared" si="13"/>
        <v>2051.7774300000001</v>
      </c>
      <c r="L112" s="953">
        <f t="shared" si="14"/>
        <v>2422.5805799999998</v>
      </c>
      <c r="M112" s="952">
        <f t="shared" si="18"/>
        <v>24720.21</v>
      </c>
      <c r="N112" s="953">
        <f t="shared" si="16"/>
        <v>859027.29749999999</v>
      </c>
      <c r="O112" s="953">
        <f t="shared" si="17"/>
        <v>11865.700799999999</v>
      </c>
    </row>
    <row r="113" spans="1:15" ht="14.45" customHeight="1">
      <c r="A113" s="17"/>
      <c r="B113" s="17"/>
      <c r="C113" s="920"/>
      <c r="D113" s="151"/>
      <c r="E113" s="151"/>
      <c r="F113" s="920"/>
      <c r="G113" s="151"/>
      <c r="H113" s="959">
        <v>65</v>
      </c>
      <c r="I113" s="954">
        <v>26288</v>
      </c>
      <c r="J113" s="1">
        <v>107</v>
      </c>
      <c r="K113" s="953">
        <f t="shared" si="13"/>
        <v>2334.6372799999999</v>
      </c>
      <c r="L113" s="953">
        <f t="shared" si="14"/>
        <v>2756.5596800000003</v>
      </c>
      <c r="M113" s="952">
        <f t="shared" si="18"/>
        <v>28128.16</v>
      </c>
      <c r="N113" s="953">
        <f t="shared" si="16"/>
        <v>977453.55999999994</v>
      </c>
      <c r="O113" s="953">
        <f t="shared" si="17"/>
        <v>13501.516799999999</v>
      </c>
    </row>
    <row r="114" spans="1:15" ht="14.45" customHeight="1">
      <c r="A114" s="17"/>
      <c r="B114" s="17"/>
      <c r="C114" s="920"/>
      <c r="D114" s="151"/>
      <c r="E114" s="151"/>
      <c r="F114" s="920"/>
      <c r="G114" s="151"/>
      <c r="H114" s="959">
        <v>66</v>
      </c>
      <c r="I114" s="954">
        <v>29694</v>
      </c>
      <c r="J114" s="1">
        <v>107</v>
      </c>
      <c r="K114" s="953">
        <f t="shared" si="13"/>
        <v>2637.1241400000004</v>
      </c>
      <c r="L114" s="953">
        <f t="shared" si="14"/>
        <v>3113.7128400000001</v>
      </c>
      <c r="M114" s="952">
        <f t="shared" si="18"/>
        <v>31772.58</v>
      </c>
      <c r="N114" s="953">
        <f t="shared" si="16"/>
        <v>1104097.155</v>
      </c>
      <c r="O114" s="953">
        <f t="shared" si="17"/>
        <v>15250.838400000001</v>
      </c>
    </row>
    <row r="115" spans="1:15" ht="14.45" customHeight="1">
      <c r="A115" s="17"/>
      <c r="B115" s="17"/>
      <c r="C115" s="920"/>
      <c r="D115" s="151"/>
      <c r="E115" s="151"/>
      <c r="F115" s="920"/>
      <c r="G115" s="151"/>
      <c r="H115" s="959">
        <v>67</v>
      </c>
      <c r="I115" s="954">
        <v>33315</v>
      </c>
      <c r="J115" s="1">
        <v>107</v>
      </c>
      <c r="K115" s="953">
        <f t="shared" si="13"/>
        <v>2958.7051500000002</v>
      </c>
      <c r="L115" s="953">
        <f t="shared" si="14"/>
        <v>3493.4109000000003</v>
      </c>
      <c r="M115" s="952">
        <f t="shared" si="18"/>
        <v>35647.050000000003</v>
      </c>
      <c r="N115" s="953">
        <f t="shared" si="16"/>
        <v>1238734.9875</v>
      </c>
      <c r="O115" s="953">
        <f t="shared" si="17"/>
        <v>17110.584000000003</v>
      </c>
    </row>
    <row r="116" spans="1:15" ht="14.45" customHeight="1">
      <c r="A116" s="17"/>
      <c r="B116" s="17"/>
      <c r="C116" s="920"/>
      <c r="D116" s="151"/>
      <c r="E116" s="151"/>
      <c r="F116" s="920"/>
      <c r="G116" s="151"/>
      <c r="H116" s="959">
        <v>68</v>
      </c>
      <c r="I116" s="954">
        <v>37156</v>
      </c>
      <c r="J116" s="1">
        <v>107</v>
      </c>
      <c r="K116" s="953">
        <f t="shared" si="13"/>
        <v>3299.8243600000001</v>
      </c>
      <c r="L116" s="953">
        <f t="shared" si="14"/>
        <v>3896.1781599999999</v>
      </c>
      <c r="M116" s="952">
        <f t="shared" si="18"/>
        <v>39756.92</v>
      </c>
      <c r="N116" s="953">
        <f t="shared" si="16"/>
        <v>1381552.97</v>
      </c>
      <c r="O116" s="953">
        <f t="shared" si="17"/>
        <v>19083.321599999999</v>
      </c>
    </row>
    <row r="117" spans="1:15" ht="14.45" customHeight="1">
      <c r="A117" s="17"/>
      <c r="B117" s="17"/>
      <c r="C117" s="920"/>
      <c r="D117" s="151"/>
      <c r="E117" s="151"/>
      <c r="F117" s="920"/>
      <c r="G117" s="151"/>
      <c r="H117" s="959">
        <v>69</v>
      </c>
      <c r="I117" s="954">
        <v>41203</v>
      </c>
      <c r="J117" s="1">
        <v>107</v>
      </c>
      <c r="K117" s="953">
        <f t="shared" si="13"/>
        <v>3659.2384300000003</v>
      </c>
      <c r="L117" s="953">
        <f t="shared" si="14"/>
        <v>4320.5465800000002</v>
      </c>
      <c r="M117" s="952">
        <f t="shared" si="18"/>
        <v>44087.21</v>
      </c>
      <c r="N117" s="953">
        <f t="shared" si="16"/>
        <v>1532030.5474999999</v>
      </c>
      <c r="O117" s="953">
        <f t="shared" si="17"/>
        <v>21161.860799999999</v>
      </c>
    </row>
    <row r="118" spans="1:15" ht="14.45" customHeight="1">
      <c r="A118" s="17"/>
      <c r="B118" s="17"/>
      <c r="C118" s="920"/>
      <c r="D118" s="151"/>
      <c r="E118" s="151"/>
      <c r="F118" s="920"/>
      <c r="G118" s="151"/>
      <c r="H118" s="959">
        <v>70</v>
      </c>
      <c r="I118" s="954">
        <v>45486</v>
      </c>
      <c r="J118" s="1">
        <v>107</v>
      </c>
      <c r="K118" s="953">
        <f t="shared" si="13"/>
        <v>4039.61166</v>
      </c>
      <c r="L118" s="953">
        <f t="shared" si="14"/>
        <v>4769.6619599999995</v>
      </c>
      <c r="M118" s="952">
        <f t="shared" si="18"/>
        <v>48670.02</v>
      </c>
      <c r="N118" s="953">
        <f t="shared" si="16"/>
        <v>1691283.1949999998</v>
      </c>
      <c r="O118" s="953">
        <f t="shared" si="17"/>
        <v>23361.609599999996</v>
      </c>
    </row>
    <row r="119" spans="1:15" ht="14.45" customHeight="1">
      <c r="A119" s="17"/>
      <c r="B119" s="17"/>
      <c r="C119" s="920"/>
      <c r="D119" s="151"/>
      <c r="E119" s="151"/>
      <c r="F119" s="920"/>
      <c r="G119" s="151"/>
      <c r="H119" s="959">
        <v>71</v>
      </c>
      <c r="I119" s="954">
        <v>49973</v>
      </c>
      <c r="J119" s="1">
        <v>107</v>
      </c>
      <c r="K119" s="953">
        <f t="shared" si="13"/>
        <v>4438.1021300000002</v>
      </c>
      <c r="L119" s="953">
        <f t="shared" si="14"/>
        <v>5240.16878</v>
      </c>
      <c r="M119" s="952">
        <f t="shared" si="18"/>
        <v>53471.11</v>
      </c>
      <c r="N119" s="953">
        <f t="shared" si="16"/>
        <v>1858121.0725</v>
      </c>
      <c r="O119" s="953">
        <f t="shared" si="17"/>
        <v>25666.132799999999</v>
      </c>
    </row>
    <row r="120" spans="1:15" ht="14.45" customHeight="1">
      <c r="A120" s="17"/>
      <c r="B120" s="17"/>
      <c r="C120" s="920"/>
      <c r="D120" s="151"/>
      <c r="E120" s="151"/>
      <c r="F120" s="920"/>
      <c r="G120" s="151"/>
      <c r="H120" s="959">
        <v>72</v>
      </c>
      <c r="I120" s="954">
        <v>54676</v>
      </c>
      <c r="J120" s="1">
        <v>107</v>
      </c>
      <c r="K120" s="953">
        <f t="shared" si="13"/>
        <v>4855.77556</v>
      </c>
      <c r="L120" s="953">
        <f t="shared" si="14"/>
        <v>5733.3253599999998</v>
      </c>
      <c r="M120" s="952">
        <f t="shared" si="18"/>
        <v>58503.32</v>
      </c>
      <c r="N120" s="953">
        <f t="shared" si="16"/>
        <v>2032990.3699999999</v>
      </c>
      <c r="O120" s="953">
        <f t="shared" si="17"/>
        <v>28081.5936</v>
      </c>
    </row>
    <row r="121" spans="1:15" ht="14.45" customHeight="1">
      <c r="A121" s="17"/>
      <c r="B121" s="17"/>
      <c r="C121" s="920"/>
      <c r="D121" s="151"/>
      <c r="E121" s="151"/>
      <c r="F121" s="920"/>
      <c r="G121" s="151"/>
      <c r="H121" s="959">
        <v>73</v>
      </c>
      <c r="I121" s="954">
        <v>59598</v>
      </c>
      <c r="J121" s="1">
        <v>107</v>
      </c>
      <c r="K121" s="953">
        <f t="shared" si="13"/>
        <v>5292.8983800000005</v>
      </c>
      <c r="L121" s="953">
        <f t="shared" si="14"/>
        <v>6249.4462800000001</v>
      </c>
      <c r="M121" s="952">
        <f t="shared" si="18"/>
        <v>63769.86</v>
      </c>
      <c r="N121" s="953">
        <f t="shared" si="16"/>
        <v>2216002.6350000002</v>
      </c>
      <c r="O121" s="953">
        <f t="shared" si="17"/>
        <v>30609.532800000001</v>
      </c>
    </row>
    <row r="122" spans="1:15" ht="14.45" customHeight="1">
      <c r="A122" s="17"/>
      <c r="B122" s="17"/>
      <c r="C122" s="920"/>
      <c r="D122" s="151"/>
      <c r="E122" s="151"/>
      <c r="F122" s="920"/>
      <c r="G122" s="151"/>
      <c r="H122" s="959">
        <v>74</v>
      </c>
      <c r="I122" s="954">
        <v>64738</v>
      </c>
      <c r="J122" s="1">
        <v>107</v>
      </c>
      <c r="K122" s="953">
        <f t="shared" si="13"/>
        <v>5749.3817800000006</v>
      </c>
      <c r="L122" s="953">
        <f t="shared" si="14"/>
        <v>6788.4266800000005</v>
      </c>
      <c r="M122" s="952">
        <f t="shared" si="18"/>
        <v>69269.66</v>
      </c>
      <c r="N122" s="953">
        <f t="shared" si="16"/>
        <v>2407120.6850000001</v>
      </c>
      <c r="O122" s="953">
        <f t="shared" si="17"/>
        <v>33249.436800000003</v>
      </c>
    </row>
    <row r="123" spans="1:15" ht="14.45" customHeight="1">
      <c r="A123" s="17"/>
      <c r="B123" s="17"/>
      <c r="C123" s="920"/>
      <c r="D123" s="151"/>
      <c r="E123" s="151"/>
      <c r="F123" s="920"/>
      <c r="G123" s="151"/>
      <c r="H123" s="959">
        <v>75</v>
      </c>
      <c r="I123" s="954">
        <v>70112</v>
      </c>
      <c r="J123" s="1">
        <v>107</v>
      </c>
      <c r="K123" s="953">
        <f t="shared" si="13"/>
        <v>6226.6467199999997</v>
      </c>
      <c r="L123" s="953">
        <f t="shared" si="14"/>
        <v>7351.9443199999996</v>
      </c>
      <c r="M123" s="952">
        <f t="shared" si="18"/>
        <v>75019.839999999997</v>
      </c>
      <c r="N123" s="953">
        <f t="shared" si="16"/>
        <v>2606939.44</v>
      </c>
      <c r="O123" s="953">
        <f t="shared" si="17"/>
        <v>36009.523199999996</v>
      </c>
    </row>
    <row r="124" spans="1:15" ht="14.45" customHeight="1">
      <c r="D124" s="960"/>
      <c r="E124" s="960"/>
      <c r="F124" s="960"/>
      <c r="G124" s="959"/>
      <c r="H124" s="959">
        <v>76</v>
      </c>
      <c r="I124" s="954">
        <f>I123</f>
        <v>70112</v>
      </c>
      <c r="J124" s="1">
        <v>107</v>
      </c>
      <c r="K124" s="953">
        <f t="shared" si="13"/>
        <v>6226.6467199999997</v>
      </c>
      <c r="L124" s="953">
        <f t="shared" si="14"/>
        <v>7351.9443199999996</v>
      </c>
      <c r="M124" s="952">
        <f t="shared" si="18"/>
        <v>75019.839999999997</v>
      </c>
      <c r="N124" s="953">
        <f t="shared" si="16"/>
        <v>2606939.44</v>
      </c>
      <c r="O124" s="953">
        <f t="shared" si="17"/>
        <v>36009.523199999996</v>
      </c>
    </row>
    <row r="125" spans="1:15" ht="14.45" customHeight="1">
      <c r="D125" s="960"/>
      <c r="G125" s="959"/>
      <c r="H125" s="959">
        <v>77</v>
      </c>
      <c r="I125" s="954">
        <f>I123</f>
        <v>70112</v>
      </c>
      <c r="J125" s="1">
        <v>107</v>
      </c>
      <c r="K125" s="953">
        <f t="shared" si="13"/>
        <v>6226.6467199999997</v>
      </c>
      <c r="L125" s="953">
        <f t="shared" si="14"/>
        <v>7351.9443199999996</v>
      </c>
      <c r="M125" s="952">
        <f t="shared" si="18"/>
        <v>75019.839999999997</v>
      </c>
      <c r="N125" s="953">
        <f t="shared" si="16"/>
        <v>2606939.44</v>
      </c>
      <c r="O125" s="953">
        <f t="shared" si="17"/>
        <v>36009.523199999996</v>
      </c>
    </row>
    <row r="126" spans="1:15" ht="14.45" customHeight="1">
      <c r="C126" s="1"/>
      <c r="D126" s="1"/>
      <c r="E126" s="1"/>
      <c r="H126" s="959">
        <v>78</v>
      </c>
      <c r="I126" s="954">
        <f>I123</f>
        <v>70112</v>
      </c>
      <c r="J126" s="1">
        <v>107</v>
      </c>
      <c r="K126" s="953">
        <f t="shared" si="13"/>
        <v>6226.6467199999997</v>
      </c>
      <c r="L126" s="953">
        <f t="shared" si="14"/>
        <v>7351.9443199999996</v>
      </c>
      <c r="M126" s="952">
        <f t="shared" si="18"/>
        <v>75019.839999999997</v>
      </c>
      <c r="N126" s="953">
        <f t="shared" si="16"/>
        <v>2606939.44</v>
      </c>
      <c r="O126" s="953">
        <f t="shared" si="17"/>
        <v>36009.523199999996</v>
      </c>
    </row>
    <row r="127" spans="1:15" ht="14.45" customHeight="1">
      <c r="C127" s="1"/>
      <c r="D127" s="1"/>
      <c r="E127" s="1"/>
      <c r="F127" s="1"/>
      <c r="H127" s="959">
        <v>79</v>
      </c>
      <c r="I127" s="954">
        <f>I123</f>
        <v>70112</v>
      </c>
      <c r="J127" s="1">
        <v>107</v>
      </c>
      <c r="K127" s="953">
        <f t="shared" si="13"/>
        <v>6226.6467199999997</v>
      </c>
      <c r="L127" s="953">
        <f t="shared" si="14"/>
        <v>7351.9443199999996</v>
      </c>
      <c r="M127" s="952">
        <f t="shared" si="18"/>
        <v>75019.839999999997</v>
      </c>
      <c r="N127" s="953">
        <f t="shared" si="16"/>
        <v>2606939.44</v>
      </c>
      <c r="O127" s="953">
        <f t="shared" si="17"/>
        <v>36009.523199999996</v>
      </c>
    </row>
    <row r="128" spans="1:15" ht="14.45" customHeight="1">
      <c r="C128" s="1"/>
      <c r="D128" s="1"/>
      <c r="E128" s="1"/>
      <c r="F128" s="1"/>
      <c r="H128" s="959">
        <v>80</v>
      </c>
      <c r="I128" s="954">
        <f>I124</f>
        <v>70112</v>
      </c>
      <c r="J128" s="1">
        <v>107</v>
      </c>
      <c r="K128" s="953">
        <f t="shared" si="13"/>
        <v>6226.6467199999997</v>
      </c>
      <c r="L128" s="953">
        <f t="shared" si="14"/>
        <v>7351.9443199999996</v>
      </c>
      <c r="M128" s="952">
        <f t="shared" si="18"/>
        <v>75019.839999999997</v>
      </c>
      <c r="N128" s="953">
        <f t="shared" si="16"/>
        <v>2606939.44</v>
      </c>
      <c r="O128" s="953">
        <f t="shared" si="17"/>
        <v>36009.523199999996</v>
      </c>
    </row>
    <row r="129" spans="1:15" ht="14.45" customHeight="1">
      <c r="A129" s="226" t="s">
        <v>755</v>
      </c>
      <c r="B129" s="226"/>
      <c r="C129" s="226"/>
      <c r="D129" s="226"/>
      <c r="E129" s="1"/>
      <c r="F129" s="1"/>
      <c r="H129" s="959"/>
      <c r="I129" s="954"/>
      <c r="K129" s="953"/>
      <c r="L129" s="953"/>
      <c r="M129" s="952"/>
      <c r="N129" s="953"/>
      <c r="O129" s="953"/>
    </row>
    <row r="130" spans="1:15" ht="14.45" customHeight="1">
      <c r="A130" s="1" t="s">
        <v>561</v>
      </c>
      <c r="B130" s="1">
        <v>1.45</v>
      </c>
      <c r="C130" s="872" t="s">
        <v>559</v>
      </c>
      <c r="F130" s="961"/>
    </row>
    <row r="131" spans="1:15" ht="14.45" customHeight="1">
      <c r="A131" s="1" t="s">
        <v>562</v>
      </c>
      <c r="B131" s="1">
        <v>2.4</v>
      </c>
      <c r="C131" s="872" t="s">
        <v>560</v>
      </c>
      <c r="E131" s="961"/>
      <c r="F131" s="961"/>
      <c r="G131" s="1"/>
      <c r="H131" s="1"/>
    </row>
    <row r="132" spans="1:15" ht="14.45" customHeight="1">
      <c r="E132" s="961"/>
      <c r="F132" s="961"/>
      <c r="G132" s="1"/>
      <c r="H132" s="1"/>
    </row>
    <row r="133" spans="1:15" ht="14.45" customHeight="1">
      <c r="A133" s="17" t="s">
        <v>558</v>
      </c>
      <c r="E133" s="961"/>
      <c r="G133" s="1"/>
      <c r="H133" s="1"/>
    </row>
    <row r="134" spans="1:15" ht="14.45" customHeight="1">
      <c r="A134" s="1" t="s">
        <v>360</v>
      </c>
      <c r="B134" s="1">
        <v>1.18</v>
      </c>
      <c r="G134" s="1"/>
      <c r="H134" s="1"/>
    </row>
    <row r="135" spans="1:15" ht="14.45" customHeight="1">
      <c r="A135" s="1" t="s">
        <v>361</v>
      </c>
      <c r="B135" s="1">
        <v>12.01</v>
      </c>
      <c r="G135" s="1"/>
      <c r="H135" s="1"/>
    </row>
    <row r="136" spans="1:15" ht="14.45" customHeight="1">
      <c r="A136" s="1" t="s">
        <v>362</v>
      </c>
      <c r="B136" s="1">
        <v>417.44</v>
      </c>
      <c r="G136" s="1"/>
      <c r="H136" s="1"/>
    </row>
    <row r="137" spans="1:15" ht="14.45" customHeight="1">
      <c r="A137" s="1" t="s">
        <v>363</v>
      </c>
      <c r="B137" s="1">
        <v>5.8</v>
      </c>
      <c r="G137" s="1"/>
      <c r="H137" s="1"/>
    </row>
    <row r="138" spans="1:15" ht="14.45" customHeight="1">
      <c r="A138" s="1" t="s">
        <v>365</v>
      </c>
      <c r="B138" s="1">
        <v>8.3000000000000004E-2</v>
      </c>
      <c r="G138" s="1"/>
      <c r="H138" s="1"/>
    </row>
    <row r="139" spans="1:15" ht="14.45" customHeight="1">
      <c r="A139" s="1" t="s">
        <v>364</v>
      </c>
      <c r="B139" s="1">
        <v>9.8000000000000004E-2</v>
      </c>
      <c r="G139" s="1"/>
      <c r="H139" s="1"/>
    </row>
    <row r="140" spans="1:15" ht="14.45" customHeight="1">
      <c r="A140" s="1" t="s">
        <v>366</v>
      </c>
      <c r="B140" s="1">
        <v>34.75</v>
      </c>
      <c r="G140" s="1"/>
      <c r="H140" s="1"/>
    </row>
    <row r="141" spans="1:15" ht="14.45" customHeight="1">
      <c r="A141" s="1" t="s">
        <v>367</v>
      </c>
      <c r="B141" s="1">
        <v>0.48</v>
      </c>
      <c r="G141" s="1"/>
      <c r="H141" s="1"/>
    </row>
    <row r="142" spans="1:15" ht="14.45" customHeight="1"/>
  </sheetData>
  <phoneticPr fontId="56" type="noConversion"/>
  <pageMargins left="0.7" right="0.7" top="0.75" bottom="0.75" header="0.3" footer="0.3"/>
  <ignoredErrors>
    <ignoredError sqref="K5:O14 K16:O29 K15:L15 N15:O15" formula="1"/>
  </ignoredErrors>
</worksheet>
</file>

<file path=xl/worksheets/sheet16.xml><?xml version="1.0" encoding="utf-8"?>
<worksheet xmlns="http://schemas.openxmlformats.org/spreadsheetml/2006/main" xmlns:r="http://schemas.openxmlformats.org/officeDocument/2006/relationships">
  <sheetPr>
    <tabColor rgb="FF00B0F0"/>
  </sheetPr>
  <dimension ref="A1:W34"/>
  <sheetViews>
    <sheetView zoomScaleNormal="100" workbookViewId="0">
      <selection activeCell="B2" sqref="B2:O2"/>
    </sheetView>
  </sheetViews>
  <sheetFormatPr defaultColWidth="0" defaultRowHeight="0" customHeight="1" zeroHeight="1"/>
  <cols>
    <col min="1" max="1" width="3.85546875" style="28" customWidth="1"/>
    <col min="2" max="2" width="2.42578125" style="28" customWidth="1"/>
    <col min="3" max="3" width="3.7109375" style="28" customWidth="1"/>
    <col min="4" max="8" width="8.85546875" style="28" customWidth="1"/>
    <col min="9" max="9" width="3.7109375" style="28" customWidth="1"/>
    <col min="10" max="14" width="8.85546875" style="28" customWidth="1"/>
    <col min="15" max="15" width="2.5703125" style="28" customWidth="1"/>
    <col min="16" max="16" width="3.7109375" style="28" customWidth="1"/>
    <col min="17" max="23" width="0" style="28" hidden="1" customWidth="1"/>
    <col min="24" max="16384" width="8.85546875" style="28" hidden="1"/>
  </cols>
  <sheetData>
    <row r="1" spans="1:19" ht="15" customHeight="1" thickBot="1">
      <c r="P1" s="29"/>
      <c r="Q1" s="29"/>
      <c r="R1" s="29"/>
      <c r="S1" s="29"/>
    </row>
    <row r="2" spans="1:19" ht="30" customHeight="1" thickBot="1">
      <c r="A2" s="29"/>
      <c r="B2" s="1092" t="s">
        <v>113</v>
      </c>
      <c r="C2" s="1093"/>
      <c r="D2" s="1093"/>
      <c r="E2" s="1093"/>
      <c r="F2" s="1093"/>
      <c r="G2" s="1093"/>
      <c r="H2" s="1093"/>
      <c r="I2" s="1093"/>
      <c r="J2" s="1093"/>
      <c r="K2" s="1093"/>
      <c r="L2" s="1093"/>
      <c r="M2" s="1093"/>
      <c r="N2" s="1093"/>
      <c r="O2" s="1094"/>
      <c r="P2" s="29"/>
      <c r="Q2" s="29"/>
      <c r="R2" s="29"/>
      <c r="S2" s="29"/>
    </row>
    <row r="3" spans="1:19" ht="9.9499999999999993" customHeight="1">
      <c r="A3" s="29"/>
      <c r="B3" s="173"/>
      <c r="C3" s="174"/>
      <c r="D3" s="174"/>
      <c r="E3" s="174"/>
      <c r="F3" s="174"/>
      <c r="G3" s="174"/>
      <c r="H3" s="174"/>
      <c r="I3" s="174"/>
      <c r="J3" s="174"/>
      <c r="K3" s="174"/>
      <c r="L3" s="174"/>
      <c r="M3" s="174"/>
      <c r="N3" s="174"/>
      <c r="O3" s="175"/>
      <c r="P3" s="29"/>
      <c r="Q3" s="29"/>
      <c r="R3" s="29"/>
      <c r="S3" s="29"/>
    </row>
    <row r="4" spans="1:19" ht="15" customHeight="1">
      <c r="A4" s="29"/>
      <c r="B4" s="42"/>
      <c r="C4" s="41" t="s">
        <v>55</v>
      </c>
      <c r="D4" s="43"/>
      <c r="E4" s="43"/>
      <c r="F4" s="43"/>
      <c r="G4" s="43"/>
      <c r="H4" s="43"/>
      <c r="I4" s="43"/>
      <c r="J4" s="43"/>
      <c r="K4" s="43"/>
      <c r="L4" s="43"/>
      <c r="M4" s="43"/>
      <c r="N4" s="43"/>
      <c r="O4" s="44"/>
      <c r="P4" s="29"/>
      <c r="Q4" s="29"/>
      <c r="R4" s="29"/>
      <c r="S4" s="29"/>
    </row>
    <row r="5" spans="1:19" ht="9.9499999999999993" customHeight="1">
      <c r="B5" s="30"/>
      <c r="C5" s="40"/>
      <c r="D5" s="29"/>
      <c r="E5" s="29"/>
      <c r="F5" s="29"/>
      <c r="G5" s="29"/>
      <c r="H5" s="29"/>
      <c r="I5" s="29"/>
      <c r="J5" s="29"/>
      <c r="K5" s="29"/>
      <c r="L5" s="29"/>
      <c r="M5" s="29"/>
      <c r="N5" s="29"/>
      <c r="O5" s="31"/>
      <c r="P5" s="29"/>
      <c r="Q5" s="29"/>
      <c r="R5" s="29"/>
      <c r="S5" s="29"/>
    </row>
    <row r="6" spans="1:19" ht="15" customHeight="1">
      <c r="B6" s="30"/>
      <c r="C6" s="205" t="s">
        <v>79</v>
      </c>
      <c r="D6" s="974" t="s">
        <v>773</v>
      </c>
      <c r="E6" s="974"/>
      <c r="F6" s="974"/>
      <c r="G6" s="974"/>
      <c r="H6" s="974"/>
      <c r="I6" s="974"/>
      <c r="J6" s="974"/>
      <c r="K6" s="974"/>
      <c r="L6" s="974"/>
      <c r="M6" s="974"/>
      <c r="N6" s="974"/>
      <c r="O6" s="31"/>
      <c r="P6" s="29"/>
      <c r="Q6" s="29"/>
      <c r="R6" s="29"/>
      <c r="S6" s="29"/>
    </row>
    <row r="7" spans="1:19" ht="15" customHeight="1">
      <c r="B7" s="30"/>
      <c r="C7" s="154"/>
      <c r="D7" s="974"/>
      <c r="E7" s="974"/>
      <c r="F7" s="974"/>
      <c r="G7" s="974"/>
      <c r="H7" s="974"/>
      <c r="I7" s="974"/>
      <c r="J7" s="974"/>
      <c r="K7" s="974"/>
      <c r="L7" s="974"/>
      <c r="M7" s="974"/>
      <c r="N7" s="974"/>
      <c r="O7" s="31"/>
      <c r="P7" s="29"/>
      <c r="Q7" s="29"/>
      <c r="R7" s="29"/>
      <c r="S7" s="29"/>
    </row>
    <row r="8" spans="1:19" ht="7.5" customHeight="1">
      <c r="B8" s="24"/>
      <c r="C8" s="154"/>
      <c r="D8" s="46"/>
      <c r="E8" s="97"/>
      <c r="F8" s="97"/>
      <c r="G8" s="97"/>
      <c r="H8" s="97"/>
      <c r="I8" s="97"/>
      <c r="J8" s="97"/>
      <c r="K8" s="97"/>
      <c r="L8" s="97"/>
      <c r="M8" s="97"/>
      <c r="N8" s="97"/>
      <c r="O8" s="20"/>
      <c r="P8" s="29"/>
      <c r="Q8" s="29"/>
      <c r="R8" s="29"/>
      <c r="S8" s="29"/>
    </row>
    <row r="9" spans="1:19" ht="18.75" customHeight="1">
      <c r="A9" s="29"/>
      <c r="B9" s="42"/>
      <c r="C9" s="41" t="s">
        <v>573</v>
      </c>
      <c r="D9" s="43"/>
      <c r="E9" s="43"/>
      <c r="F9" s="43"/>
      <c r="G9" s="43"/>
      <c r="H9" s="43"/>
      <c r="I9" s="43"/>
      <c r="J9" s="43"/>
      <c r="K9" s="43"/>
      <c r="L9" s="43"/>
      <c r="M9" s="43"/>
      <c r="N9" s="43"/>
      <c r="O9" s="44"/>
      <c r="P9" s="29"/>
      <c r="Q9" s="29"/>
      <c r="R9" s="29"/>
      <c r="S9" s="29"/>
    </row>
    <row r="10" spans="1:19" ht="9.9499999999999993" customHeight="1">
      <c r="B10" s="30"/>
      <c r="C10" s="40"/>
      <c r="D10" s="29"/>
      <c r="E10" s="29"/>
      <c r="F10" s="29"/>
      <c r="G10" s="29"/>
      <c r="H10" s="29"/>
      <c r="I10" s="29"/>
      <c r="J10" s="29"/>
      <c r="K10" s="29"/>
      <c r="L10" s="29"/>
      <c r="M10" s="29"/>
      <c r="N10" s="29"/>
      <c r="O10" s="31"/>
      <c r="P10" s="29"/>
      <c r="Q10" s="29"/>
      <c r="R10" s="29"/>
      <c r="S10" s="29"/>
    </row>
    <row r="11" spans="1:19" ht="15" customHeight="1">
      <c r="B11" s="30"/>
      <c r="C11" s="205" t="s">
        <v>79</v>
      </c>
      <c r="D11" s="48" t="s">
        <v>115</v>
      </c>
      <c r="E11" s="27"/>
      <c r="F11" s="27"/>
      <c r="G11" s="27"/>
      <c r="H11" s="27"/>
      <c r="I11" s="27"/>
      <c r="J11" s="27"/>
      <c r="K11" s="27"/>
      <c r="L11" s="27"/>
      <c r="M11" s="27"/>
      <c r="N11" s="27"/>
      <c r="O11" s="31"/>
      <c r="P11" s="29"/>
      <c r="Q11" s="29"/>
      <c r="R11" s="29"/>
      <c r="S11" s="29"/>
    </row>
    <row r="12" spans="1:19" ht="30" customHeight="1">
      <c r="B12" s="32"/>
      <c r="C12" s="205" t="s">
        <v>79</v>
      </c>
      <c r="D12" s="1095" t="s">
        <v>774</v>
      </c>
      <c r="E12" s="1095"/>
      <c r="F12" s="1095"/>
      <c r="G12" s="1095"/>
      <c r="H12" s="1095"/>
      <c r="I12" s="1095"/>
      <c r="J12" s="1095"/>
      <c r="K12" s="1095"/>
      <c r="L12" s="1095"/>
      <c r="M12" s="1095"/>
      <c r="N12" s="1095"/>
      <c r="O12" s="31"/>
      <c r="P12" s="29"/>
      <c r="Q12" s="29"/>
      <c r="R12" s="29"/>
      <c r="S12" s="29"/>
    </row>
    <row r="13" spans="1:19" ht="9.75" customHeight="1">
      <c r="B13" s="33"/>
      <c r="C13" s="29"/>
      <c r="D13" s="29"/>
      <c r="E13" s="29"/>
      <c r="F13" s="29"/>
      <c r="G13" s="29"/>
      <c r="H13" s="29"/>
      <c r="I13" s="29"/>
      <c r="J13" s="29"/>
      <c r="K13" s="29"/>
      <c r="L13" s="29"/>
      <c r="M13" s="29"/>
      <c r="N13" s="29"/>
      <c r="O13" s="31"/>
    </row>
    <row r="14" spans="1:19" ht="18.75" customHeight="1">
      <c r="A14" s="29"/>
      <c r="B14" s="42"/>
      <c r="C14" s="41" t="s">
        <v>114</v>
      </c>
      <c r="D14" s="43"/>
      <c r="E14" s="43"/>
      <c r="F14" s="43"/>
      <c r="G14" s="43"/>
      <c r="H14" s="43"/>
      <c r="I14" s="43"/>
      <c r="J14" s="43"/>
      <c r="K14" s="43"/>
      <c r="L14" s="43"/>
      <c r="M14" s="43"/>
      <c r="N14" s="43"/>
      <c r="O14" s="44"/>
      <c r="P14" s="29"/>
      <c r="Q14" s="29"/>
      <c r="R14" s="29"/>
      <c r="S14" s="29"/>
    </row>
    <row r="15" spans="1:19" ht="9.9499999999999993" customHeight="1">
      <c r="B15" s="30"/>
      <c r="C15" s="40"/>
      <c r="D15" s="29"/>
      <c r="E15" s="29"/>
      <c r="F15" s="29"/>
      <c r="G15" s="29"/>
      <c r="H15" s="29"/>
      <c r="I15" s="29"/>
      <c r="J15" s="29"/>
      <c r="K15" s="29"/>
      <c r="L15" s="29"/>
      <c r="M15" s="29"/>
      <c r="N15" s="29"/>
      <c r="O15" s="31"/>
      <c r="P15" s="29"/>
      <c r="Q15" s="29"/>
      <c r="R15" s="29"/>
      <c r="S15" s="29"/>
    </row>
    <row r="16" spans="1:19" ht="15" customHeight="1">
      <c r="B16" s="30"/>
      <c r="C16" s="205" t="s">
        <v>79</v>
      </c>
      <c r="D16" s="974" t="s">
        <v>116</v>
      </c>
      <c r="E16" s="974"/>
      <c r="F16" s="974"/>
      <c r="G16" s="974"/>
      <c r="H16" s="974"/>
      <c r="I16" s="974"/>
      <c r="J16" s="974"/>
      <c r="K16" s="974"/>
      <c r="L16" s="974"/>
      <c r="M16" s="974"/>
      <c r="N16" s="974"/>
      <c r="O16" s="31"/>
      <c r="P16" s="29"/>
      <c r="Q16" s="29"/>
      <c r="R16" s="29"/>
      <c r="S16" s="29"/>
    </row>
    <row r="17" spans="2:15" ht="15" customHeight="1" thickBot="1">
      <c r="B17" s="37"/>
      <c r="C17" s="206"/>
      <c r="D17" s="38"/>
      <c r="E17" s="38"/>
      <c r="F17" s="38"/>
      <c r="G17" s="38"/>
      <c r="H17" s="38"/>
      <c r="I17" s="38"/>
      <c r="J17" s="38"/>
      <c r="K17" s="38"/>
      <c r="L17" s="38"/>
      <c r="M17" s="38"/>
      <c r="N17" s="38"/>
      <c r="O17" s="39"/>
    </row>
    <row r="18" spans="2:15" ht="15" customHeight="1"/>
    <row r="19" spans="2:15" ht="15" hidden="1" customHeight="1"/>
    <row r="20" spans="2:15" ht="15" customHeight="1"/>
    <row r="21" spans="2:15" ht="0" hidden="1" customHeight="1"/>
    <row r="22" spans="2:15" ht="0" hidden="1" customHeight="1"/>
    <row r="23" spans="2:15" ht="0" hidden="1" customHeight="1"/>
    <row r="24" spans="2:15" ht="0" hidden="1" customHeight="1"/>
    <row r="25" spans="2:15" ht="0" hidden="1" customHeight="1"/>
    <row r="26" spans="2:15" ht="0" hidden="1" customHeight="1"/>
    <row r="29" spans="2:15" ht="0" hidden="1" customHeight="1"/>
    <row r="30" spans="2:15" ht="0" hidden="1" customHeight="1"/>
    <row r="31" spans="2:15" ht="0" hidden="1" customHeight="1"/>
    <row r="32" spans="2:15" ht="0" hidden="1" customHeight="1"/>
    <row r="33" ht="0" hidden="1" customHeight="1"/>
    <row r="34" ht="0" hidden="1" customHeight="1"/>
  </sheetData>
  <mergeCells count="4">
    <mergeCell ref="B2:O2"/>
    <mergeCell ref="D6:N7"/>
    <mergeCell ref="D16:N16"/>
    <mergeCell ref="D12:N1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sheetPr>
    <tabColor rgb="FF00B0F0"/>
  </sheetPr>
  <dimension ref="A1:CP186"/>
  <sheetViews>
    <sheetView topLeftCell="Q1" zoomScale="80" zoomScaleNormal="80" workbookViewId="0">
      <selection activeCell="T18" sqref="T18"/>
    </sheetView>
  </sheetViews>
  <sheetFormatPr defaultColWidth="0" defaultRowHeight="0" customHeight="1" zeroHeight="1"/>
  <cols>
    <col min="1" max="1" width="3.85546875" style="28" customWidth="1"/>
    <col min="2" max="2" width="2.42578125" style="28" customWidth="1"/>
    <col min="3" max="3" width="2" style="28" customWidth="1"/>
    <col min="4" max="4" width="10.5703125" style="28" customWidth="1"/>
    <col min="5" max="5" width="24" style="28" customWidth="1"/>
    <col min="6" max="6" width="41.140625" style="28" customWidth="1"/>
    <col min="7" max="12" width="18.42578125" style="28" customWidth="1"/>
    <col min="13" max="13" width="2" style="28" customWidth="1"/>
    <col min="14" max="14" width="38.140625" style="28" bestFit="1" customWidth="1"/>
    <col min="15" max="16" width="22.140625" style="28" customWidth="1"/>
    <col min="17" max="17" width="69.28515625" style="28" customWidth="1"/>
    <col min="18" max="18" width="18" style="28" customWidth="1"/>
    <col min="19" max="19" width="20" style="28" customWidth="1"/>
    <col min="20" max="21" width="18" style="28" customWidth="1"/>
    <col min="22" max="22" width="25.140625" style="28" customWidth="1"/>
    <col min="23" max="25" width="18" style="28" customWidth="1"/>
    <col min="26" max="26" width="2.5703125" style="28" customWidth="1"/>
    <col min="27" max="27" width="3.7109375" style="28" customWidth="1"/>
    <col min="28" max="94" width="0" style="28" hidden="1" customWidth="1"/>
    <col min="95" max="16384" width="8.85546875" style="28" hidden="1"/>
  </cols>
  <sheetData>
    <row r="1" spans="1:30" ht="15" customHeight="1" thickBot="1">
      <c r="AA1" s="29"/>
      <c r="AB1" s="29"/>
      <c r="AC1" s="29"/>
      <c r="AD1" s="29"/>
    </row>
    <row r="2" spans="1:30" ht="24.95" customHeight="1" thickBot="1">
      <c r="A2" s="29"/>
      <c r="B2" s="1099" t="s">
        <v>782</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1"/>
      <c r="AA2" s="29"/>
      <c r="AB2" s="29"/>
      <c r="AC2" s="29"/>
      <c r="AD2" s="29"/>
    </row>
    <row r="3" spans="1:30" ht="9.9499999999999993" customHeight="1">
      <c r="A3" s="29"/>
      <c r="B3" s="42"/>
      <c r="C3" s="43"/>
      <c r="D3" s="43"/>
      <c r="E3" s="43"/>
      <c r="F3" s="43"/>
      <c r="G3" s="43"/>
      <c r="H3" s="43"/>
      <c r="I3" s="43"/>
      <c r="J3" s="43"/>
      <c r="K3" s="43"/>
      <c r="L3" s="43"/>
      <c r="M3" s="43"/>
      <c r="N3" s="43"/>
      <c r="O3" s="43"/>
      <c r="P3" s="43"/>
      <c r="Q3" s="470"/>
      <c r="R3" s="43"/>
      <c r="S3" s="43"/>
      <c r="T3" s="43"/>
      <c r="U3" s="43"/>
      <c r="V3" s="43"/>
      <c r="W3" s="43"/>
      <c r="X3" s="43"/>
      <c r="Y3" s="43"/>
      <c r="Z3" s="44"/>
      <c r="AA3" s="29"/>
      <c r="AB3" s="29"/>
      <c r="AC3" s="29"/>
      <c r="AD3" s="29"/>
    </row>
    <row r="4" spans="1:30" ht="15" customHeight="1">
      <c r="A4" s="29"/>
      <c r="B4" s="42"/>
      <c r="C4" s="69" t="s">
        <v>4</v>
      </c>
      <c r="D4" s="70"/>
      <c r="E4" s="70"/>
      <c r="F4" s="70"/>
      <c r="G4" s="70"/>
      <c r="H4" s="70"/>
      <c r="I4" s="70"/>
      <c r="J4" s="70"/>
      <c r="K4" s="70"/>
      <c r="L4" s="70"/>
      <c r="M4" s="70"/>
      <c r="N4" s="70"/>
      <c r="O4" s="70"/>
      <c r="P4" s="71"/>
      <c r="Q4" s="1"/>
      <c r="R4" s="1"/>
      <c r="S4" s="66"/>
      <c r="T4" s="66"/>
      <c r="U4" s="66"/>
      <c r="V4" s="66"/>
      <c r="W4" s="66"/>
      <c r="X4" s="66"/>
      <c r="Y4" s="66"/>
      <c r="Z4" s="44"/>
      <c r="AA4" s="29"/>
      <c r="AB4" s="29"/>
      <c r="AC4" s="29"/>
      <c r="AD4" s="29"/>
    </row>
    <row r="5" spans="1:30" ht="15" customHeight="1">
      <c r="B5" s="30"/>
      <c r="C5" s="142" t="s">
        <v>79</v>
      </c>
      <c r="D5" s="63" t="s">
        <v>783</v>
      </c>
      <c r="E5" s="27"/>
      <c r="F5" s="27"/>
      <c r="G5" s="27"/>
      <c r="H5" s="27"/>
      <c r="I5" s="27"/>
      <c r="J5" s="27"/>
      <c r="K5" s="27"/>
      <c r="L5" s="27"/>
      <c r="M5" s="27"/>
      <c r="N5" s="27"/>
      <c r="O5" s="27"/>
      <c r="P5" s="57"/>
      <c r="Q5" s="1"/>
      <c r="R5" s="1"/>
      <c r="S5" s="27"/>
      <c r="T5" s="27"/>
      <c r="U5" s="27"/>
      <c r="V5" s="27"/>
      <c r="W5" s="27"/>
      <c r="X5" s="27"/>
      <c r="Y5" s="27"/>
      <c r="Z5" s="31"/>
      <c r="AA5" s="29"/>
      <c r="AB5" s="29"/>
      <c r="AC5" s="29"/>
      <c r="AD5" s="29"/>
    </row>
    <row r="6" spans="1:30" ht="15" customHeight="1">
      <c r="B6" s="30"/>
      <c r="C6" s="142" t="s">
        <v>79</v>
      </c>
      <c r="D6" s="1012" t="s">
        <v>784</v>
      </c>
      <c r="E6" s="1012"/>
      <c r="F6" s="1012"/>
      <c r="G6" s="1012"/>
      <c r="H6" s="1012"/>
      <c r="I6" s="1012"/>
      <c r="J6" s="1012"/>
      <c r="K6" s="1012"/>
      <c r="L6" s="1012"/>
      <c r="M6" s="1012"/>
      <c r="N6" s="1012"/>
      <c r="O6" s="1012"/>
      <c r="P6" s="1013"/>
      <c r="Q6" s="1"/>
      <c r="R6" s="1"/>
      <c r="S6" s="221"/>
      <c r="T6" s="221"/>
      <c r="U6" s="221"/>
      <c r="V6" s="221"/>
      <c r="W6" s="27"/>
      <c r="X6" s="27"/>
      <c r="Y6" s="27"/>
      <c r="Z6" s="31"/>
      <c r="AA6" s="29"/>
      <c r="AB6" s="29"/>
      <c r="AC6" s="29"/>
      <c r="AD6" s="29"/>
    </row>
    <row r="7" spans="1:30" ht="15" customHeight="1">
      <c r="B7" s="32"/>
      <c r="C7" s="142"/>
      <c r="D7" s="63"/>
      <c r="E7" s="27"/>
      <c r="F7" s="27"/>
      <c r="G7" s="27"/>
      <c r="H7" s="27"/>
      <c r="I7" s="27"/>
      <c r="J7" s="27"/>
      <c r="K7" s="27"/>
      <c r="L7" s="27"/>
      <c r="M7" s="27"/>
      <c r="N7" s="27"/>
      <c r="O7" s="27"/>
      <c r="P7" s="57"/>
      <c r="Q7" s="1"/>
      <c r="R7" s="1"/>
      <c r="S7" s="27"/>
      <c r="T7" s="27"/>
      <c r="U7" s="27"/>
      <c r="V7" s="27"/>
      <c r="W7" s="27"/>
      <c r="X7" s="27"/>
      <c r="Y7" s="27"/>
      <c r="Z7" s="31"/>
      <c r="AA7" s="29"/>
      <c r="AB7" s="29"/>
      <c r="AC7" s="29"/>
      <c r="AD7" s="29"/>
    </row>
    <row r="8" spans="1:30" ht="15" customHeight="1">
      <c r="B8" s="32"/>
      <c r="C8" s="58" t="s">
        <v>11</v>
      </c>
      <c r="D8" s="29"/>
      <c r="E8" s="26"/>
      <c r="F8" s="27"/>
      <c r="G8" s="27"/>
      <c r="H8" s="27"/>
      <c r="I8" s="27"/>
      <c r="J8" s="27"/>
      <c r="K8" s="27"/>
      <c r="L8" s="27"/>
      <c r="M8" s="27"/>
      <c r="N8" s="27"/>
      <c r="O8" s="27"/>
      <c r="P8" s="57"/>
      <c r="Q8" s="1"/>
      <c r="R8" s="1"/>
      <c r="S8" s="27"/>
      <c r="T8" s="27"/>
      <c r="U8" s="27"/>
      <c r="V8" s="27"/>
      <c r="W8" s="27"/>
      <c r="X8" s="27"/>
      <c r="Y8" s="27"/>
      <c r="Z8" s="31"/>
      <c r="AA8" s="29"/>
      <c r="AB8" s="29"/>
      <c r="AC8" s="29"/>
      <c r="AD8" s="29"/>
    </row>
    <row r="9" spans="1:30" ht="15" customHeight="1">
      <c r="B9" s="32"/>
      <c r="C9" s="152"/>
      <c r="D9" s="63" t="s">
        <v>588</v>
      </c>
      <c r="E9" s="29"/>
      <c r="F9" s="27"/>
      <c r="G9" s="27"/>
      <c r="H9" s="27"/>
      <c r="I9" s="27"/>
      <c r="J9" s="27"/>
      <c r="K9" s="27"/>
      <c r="L9" s="27"/>
      <c r="M9" s="27"/>
      <c r="N9" s="27"/>
      <c r="O9" s="27"/>
      <c r="P9" s="57"/>
      <c r="Q9" s="1"/>
      <c r="R9" s="1"/>
      <c r="S9" s="27"/>
      <c r="T9" s="27"/>
      <c r="U9" s="27"/>
      <c r="V9" s="27"/>
      <c r="W9" s="27"/>
      <c r="X9" s="27"/>
      <c r="Y9" s="27"/>
      <c r="Z9" s="31"/>
      <c r="AA9" s="29"/>
      <c r="AB9" s="29"/>
      <c r="AC9" s="29"/>
      <c r="AD9" s="29"/>
    </row>
    <row r="10" spans="1:30" ht="15" customHeight="1">
      <c r="B10" s="32"/>
      <c r="C10" s="166"/>
      <c r="D10" s="63" t="s">
        <v>82</v>
      </c>
      <c r="E10" s="29"/>
      <c r="F10" s="27"/>
      <c r="G10" s="27"/>
      <c r="H10" s="27"/>
      <c r="I10" s="27"/>
      <c r="J10" s="27"/>
      <c r="K10" s="27"/>
      <c r="L10" s="27"/>
      <c r="M10" s="27"/>
      <c r="N10" s="27"/>
      <c r="O10" s="27"/>
      <c r="P10" s="57"/>
      <c r="Q10" s="1"/>
      <c r="R10" s="1"/>
      <c r="S10" s="27"/>
      <c r="T10" s="27"/>
      <c r="U10" s="27"/>
      <c r="V10" s="27"/>
      <c r="W10" s="27"/>
      <c r="X10" s="27"/>
      <c r="Y10" s="27"/>
      <c r="Z10" s="31"/>
      <c r="AA10" s="29"/>
      <c r="AB10" s="29"/>
      <c r="AC10" s="29"/>
      <c r="AD10" s="29"/>
    </row>
    <row r="11" spans="1:30" ht="15" customHeight="1">
      <c r="B11" s="32"/>
      <c r="C11" s="125" t="s">
        <v>65</v>
      </c>
      <c r="D11" s="355" t="s">
        <v>747</v>
      </c>
      <c r="E11" s="26"/>
      <c r="F11" s="27"/>
      <c r="G11" s="27"/>
      <c r="H11" s="27"/>
      <c r="I11" s="27"/>
      <c r="J11" s="27"/>
      <c r="K11" s="27"/>
      <c r="L11" s="27"/>
      <c r="M11" s="27"/>
      <c r="N11" s="27"/>
      <c r="O11" s="27"/>
      <c r="P11" s="57"/>
      <c r="Q11" s="1"/>
      <c r="R11" s="1"/>
      <c r="S11" s="27"/>
      <c r="T11" s="27"/>
      <c r="U11" s="27"/>
      <c r="V11" s="27"/>
      <c r="W11" s="27"/>
      <c r="X11" s="27"/>
      <c r="Y11" s="27"/>
      <c r="Z11" s="31"/>
      <c r="AA11" s="29"/>
      <c r="AB11" s="29"/>
      <c r="AC11" s="29"/>
      <c r="AD11" s="29"/>
    </row>
    <row r="12" spans="1:30" ht="15" customHeight="1">
      <c r="B12" s="32"/>
      <c r="C12" s="471" t="s">
        <v>65</v>
      </c>
      <c r="D12" s="926" t="s">
        <v>748</v>
      </c>
      <c r="E12" s="26"/>
      <c r="F12" s="27"/>
      <c r="G12" s="27"/>
      <c r="H12" s="27"/>
      <c r="I12" s="27"/>
      <c r="J12" s="27"/>
      <c r="K12" s="27"/>
      <c r="L12" s="27"/>
      <c r="M12" s="27"/>
      <c r="N12" s="27"/>
      <c r="O12" s="27"/>
      <c r="P12" s="57"/>
      <c r="Q12" s="1"/>
      <c r="R12" s="1"/>
      <c r="S12" s="27"/>
      <c r="T12" s="27"/>
      <c r="U12" s="27"/>
      <c r="V12" s="27"/>
      <c r="W12" s="27"/>
      <c r="X12" s="27"/>
      <c r="Y12" s="27"/>
      <c r="Z12" s="31"/>
      <c r="AA12" s="29"/>
      <c r="AB12" s="29"/>
      <c r="AC12" s="29"/>
      <c r="AD12" s="29"/>
    </row>
    <row r="13" spans="1:30" ht="15" customHeight="1">
      <c r="B13" s="32"/>
      <c r="C13" s="472" t="s">
        <v>65</v>
      </c>
      <c r="D13" s="768" t="s">
        <v>319</v>
      </c>
      <c r="E13" s="176"/>
      <c r="F13" s="60"/>
      <c r="G13" s="60"/>
      <c r="H13" s="60"/>
      <c r="I13" s="60"/>
      <c r="J13" s="60"/>
      <c r="K13" s="60"/>
      <c r="L13" s="60"/>
      <c r="M13" s="27"/>
      <c r="N13" s="60"/>
      <c r="O13" s="60"/>
      <c r="P13" s="61"/>
      <c r="Q13" s="1"/>
      <c r="R13" s="1"/>
      <c r="S13" s="27"/>
      <c r="T13" s="27"/>
      <c r="U13" s="27"/>
      <c r="V13" s="27"/>
      <c r="W13" s="27"/>
      <c r="X13" s="27"/>
      <c r="Y13" s="27"/>
      <c r="Z13" s="31"/>
      <c r="AA13" s="29"/>
      <c r="AB13" s="29"/>
      <c r="AC13" s="29"/>
      <c r="AD13" s="29"/>
    </row>
    <row r="14" spans="1:30" ht="15" customHeight="1">
      <c r="B14" s="32"/>
      <c r="C14" s="19"/>
      <c r="D14" s="63"/>
      <c r="E14" s="29"/>
      <c r="F14" s="27"/>
      <c r="G14" s="27"/>
      <c r="H14" s="27"/>
      <c r="I14" s="27"/>
      <c r="J14" s="27"/>
      <c r="K14" s="27"/>
      <c r="L14" s="27"/>
      <c r="M14" s="27"/>
      <c r="N14" s="27"/>
      <c r="O14" s="27"/>
      <c r="P14" s="27"/>
      <c r="Q14" s="90"/>
      <c r="R14" s="27"/>
      <c r="S14" s="27"/>
      <c r="T14" s="27"/>
      <c r="U14" s="27"/>
      <c r="V14" s="27"/>
      <c r="W14" s="27"/>
      <c r="X14" s="27"/>
      <c r="Y14" s="27"/>
      <c r="Z14" s="31"/>
      <c r="AA14" s="29"/>
      <c r="AB14" s="29"/>
      <c r="AC14" s="29"/>
      <c r="AD14" s="29"/>
    </row>
    <row r="15" spans="1:30" ht="15" customHeight="1">
      <c r="B15" s="24"/>
      <c r="C15" s="29"/>
      <c r="D15" s="29"/>
      <c r="E15" s="97"/>
      <c r="F15" s="1102" t="s">
        <v>745</v>
      </c>
      <c r="G15" s="1102"/>
      <c r="H15" s="1102"/>
      <c r="I15" s="1102"/>
      <c r="J15" s="1102"/>
      <c r="K15" s="1102"/>
      <c r="L15" s="1102"/>
      <c r="M15" s="103"/>
      <c r="N15" s="930"/>
      <c r="O15" s="1102" t="s">
        <v>50</v>
      </c>
      <c r="P15" s="1102"/>
      <c r="Q15" s="136"/>
      <c r="R15" s="1102" t="s">
        <v>77</v>
      </c>
      <c r="S15" s="1102"/>
      <c r="T15" s="1102"/>
      <c r="U15" s="1102"/>
      <c r="V15" s="1102"/>
      <c r="W15" s="1102"/>
      <c r="X15" s="1102"/>
      <c r="Y15" s="1102"/>
      <c r="Z15" s="20"/>
      <c r="AA15" s="29"/>
      <c r="AB15" s="29"/>
      <c r="AC15" s="29"/>
      <c r="AD15" s="29"/>
    </row>
    <row r="16" spans="1:30" ht="15" customHeight="1">
      <c r="B16" s="24"/>
      <c r="C16" s="1096" t="s">
        <v>403</v>
      </c>
      <c r="D16" s="1096"/>
      <c r="E16" s="1096"/>
      <c r="F16" s="1044" t="s">
        <v>746</v>
      </c>
      <c r="G16" s="1044"/>
      <c r="H16" s="1044"/>
      <c r="I16" s="1044"/>
      <c r="J16" s="1044"/>
      <c r="K16" s="1044"/>
      <c r="L16" s="1044"/>
      <c r="M16" s="103"/>
      <c r="N16" s="1044" t="s">
        <v>516</v>
      </c>
      <c r="O16" s="1044"/>
      <c r="P16" s="1044"/>
      <c r="Q16" s="136"/>
      <c r="R16" s="1044" t="s">
        <v>785</v>
      </c>
      <c r="S16" s="1097"/>
      <c r="T16" s="1097"/>
      <c r="U16" s="1097"/>
      <c r="V16" s="1097"/>
      <c r="W16" s="1097"/>
      <c r="X16" s="1097"/>
      <c r="Y16" s="1097"/>
      <c r="Z16" s="20"/>
      <c r="AA16" s="29"/>
      <c r="AB16" s="29"/>
      <c r="AC16" s="29"/>
      <c r="AD16" s="29"/>
    </row>
    <row r="17" spans="2:30" ht="15" customHeight="1">
      <c r="B17" s="24"/>
      <c r="C17" s="1096"/>
      <c r="D17" s="1096"/>
      <c r="E17" s="1096"/>
      <c r="F17" s="1042"/>
      <c r="G17" s="1042"/>
      <c r="H17" s="1042"/>
      <c r="I17" s="1042"/>
      <c r="J17" s="1042"/>
      <c r="K17" s="1042"/>
      <c r="L17" s="1042"/>
      <c r="M17" s="225"/>
      <c r="N17" s="1042"/>
      <c r="O17" s="1042"/>
      <c r="P17" s="1042"/>
      <c r="Q17" s="136"/>
      <c r="R17" s="1098"/>
      <c r="S17" s="1098"/>
      <c r="T17" s="1098"/>
      <c r="U17" s="1098"/>
      <c r="V17" s="1098"/>
      <c r="W17" s="1098"/>
      <c r="X17" s="1098"/>
      <c r="Y17" s="1098"/>
      <c r="Z17" s="20"/>
      <c r="AA17" s="29"/>
      <c r="AB17" s="29"/>
      <c r="AC17" s="29"/>
      <c r="AD17" s="29"/>
    </row>
    <row r="18" spans="2:30" ht="38.25" customHeight="1">
      <c r="B18" s="24"/>
      <c r="C18" s="275"/>
      <c r="D18" s="275"/>
      <c r="E18" s="275"/>
      <c r="F18" s="1103"/>
      <c r="G18" s="1103"/>
      <c r="H18" s="1103"/>
      <c r="I18" s="1103"/>
      <c r="J18" s="1103"/>
      <c r="K18" s="1103"/>
      <c r="L18" s="1103"/>
      <c r="M18" s="225"/>
      <c r="N18" s="1042"/>
      <c r="O18" s="1042"/>
      <c r="P18" s="1042"/>
      <c r="Q18" s="136"/>
      <c r="R18" s="276" t="s">
        <v>162</v>
      </c>
      <c r="S18" s="276" t="s">
        <v>163</v>
      </c>
      <c r="T18" s="276" t="s">
        <v>164</v>
      </c>
      <c r="U18" s="276" t="s">
        <v>165</v>
      </c>
      <c r="V18" s="276" t="s">
        <v>166</v>
      </c>
      <c r="W18" s="276" t="s">
        <v>167</v>
      </c>
      <c r="X18" s="276" t="s">
        <v>168</v>
      </c>
      <c r="Y18" s="276" t="s">
        <v>169</v>
      </c>
      <c r="Z18" s="20"/>
      <c r="AA18" s="29"/>
      <c r="AB18" s="29"/>
      <c r="AC18" s="29"/>
      <c r="AD18" s="29"/>
    </row>
    <row r="19" spans="2:30" ht="38.25" customHeight="1">
      <c r="B19" s="33"/>
      <c r="C19" s="275"/>
      <c r="D19" s="275"/>
      <c r="E19" s="275"/>
      <c r="F19" s="220" t="s">
        <v>35</v>
      </c>
      <c r="G19" s="925" t="s">
        <v>776</v>
      </c>
      <c r="H19" s="925" t="s">
        <v>5</v>
      </c>
      <c r="I19" s="925" t="s">
        <v>6</v>
      </c>
      <c r="J19" s="925" t="s">
        <v>7</v>
      </c>
      <c r="K19" s="925" t="s">
        <v>8</v>
      </c>
      <c r="L19" s="925" t="s">
        <v>9</v>
      </c>
      <c r="M19" s="223"/>
      <c r="N19" s="759"/>
      <c r="O19" s="561" t="s">
        <v>45</v>
      </c>
      <c r="P19" s="561" t="s">
        <v>44</v>
      </c>
      <c r="Q19" s="675" t="s">
        <v>699</v>
      </c>
      <c r="R19" s="124"/>
      <c r="S19" s="124"/>
      <c r="T19" s="124"/>
      <c r="U19" s="124"/>
      <c r="V19" s="124"/>
      <c r="W19" s="124"/>
      <c r="X19" s="124"/>
      <c r="Y19" s="124"/>
      <c r="Z19" s="31"/>
      <c r="AA19" s="29"/>
      <c r="AB19" s="29"/>
      <c r="AC19" s="29"/>
      <c r="AD19" s="29"/>
    </row>
    <row r="20" spans="2:30" ht="15" customHeight="1">
      <c r="B20" s="33"/>
      <c r="C20" s="275"/>
      <c r="D20" s="275"/>
      <c r="E20" s="275"/>
      <c r="F20" s="223"/>
      <c r="G20" s="223"/>
      <c r="H20" s="460"/>
      <c r="I20" s="460"/>
      <c r="J20" s="460"/>
      <c r="K20" s="460"/>
      <c r="L20" s="460"/>
      <c r="M20" s="223"/>
      <c r="N20" s="759"/>
      <c r="O20" s="223"/>
      <c r="P20" s="223"/>
      <c r="Q20" s="65"/>
      <c r="R20" s="253"/>
      <c r="S20" s="253"/>
      <c r="T20" s="253"/>
      <c r="U20" s="253"/>
      <c r="V20" s="253"/>
      <c r="W20" s="253"/>
      <c r="X20" s="253"/>
      <c r="Y20" s="253"/>
      <c r="Z20" s="31"/>
      <c r="AA20" s="29"/>
      <c r="AB20" s="29"/>
      <c r="AC20" s="29"/>
      <c r="AD20" s="29"/>
    </row>
    <row r="21" spans="2:30" ht="15" customHeight="1">
      <c r="B21" s="33"/>
      <c r="C21" s="202" t="str">
        <f>PTAout!C41</f>
        <v>Implementation cost</v>
      </c>
      <c r="D21" s="202"/>
      <c r="E21" s="89"/>
      <c r="F21" s="274">
        <v>1000</v>
      </c>
      <c r="G21" s="482" t="str">
        <f>IF(code0="","",PTAout!H41)</f>
        <v/>
      </c>
      <c r="H21" s="482" t="str">
        <f>IF(code1="","",PTAout!L41)</f>
        <v/>
      </c>
      <c r="I21" s="482" t="str">
        <f>IF(code2="","",PTAout!Q41)</f>
        <v/>
      </c>
      <c r="J21" s="482" t="str">
        <f>IF(code3="","",PTAout!V41)</f>
        <v/>
      </c>
      <c r="K21" s="482" t="str">
        <f>IF(code4="","",PTAout!AA41)</f>
        <v/>
      </c>
      <c r="L21" s="482" t="str">
        <f>IF(code5="","",PTAout!AF41)</f>
        <v/>
      </c>
      <c r="M21" s="223"/>
      <c r="N21" s="919" t="s">
        <v>743</v>
      </c>
      <c r="O21" s="281">
        <v>1000</v>
      </c>
      <c r="P21" s="281">
        <v>0</v>
      </c>
      <c r="Q21" s="473" t="str">
        <f>IF(OR(O21="",P21=""),"! Worst and best values not specified. The tool will not consider this indicator",IF(P21&gt;O21,"! Best value cannot be higher than worst value. The tool will not consider this indicator",IF(AND(G21="",OR(O21&lt;&gt;"",P21&lt;&gt;"")),"! No current value. The tool will not consider this indicator",IF(OR(AND(O21&lt;G21,G21&lt;&gt;""),AND(O21&lt;H21,H21&lt;&gt;""),AND(O21&lt;I21,I21&lt;&gt;""),AND(O21&lt;J21,J21&lt;&gt;""),AND(O21&lt;K21,K21&lt;&gt;""),AND(O21&lt;L21,L21&lt;&gt;"")),"! Worst value cannot be lower than values for options.The tool will not consider this indicator",IF(OR(AND(P21&gt;G21,G21&lt;&gt;""),AND(P21&gt;H21,H21&lt;&gt;""),AND(P21&gt;I21,I21&lt;&gt;""),AND(P21&gt;J21,J21&lt;&gt;""),AND(P21&gt;K21,K21&lt;&gt;""),AND(P21&gt;L21,L21&lt;&gt;"")),"! Best value cannot be higher than values for options.The tool will not consider this indicator","")))))</f>
        <v>! No current value. The tool will not consider this indicator</v>
      </c>
      <c r="R21" s="170"/>
      <c r="S21" s="170"/>
      <c r="T21" s="170"/>
      <c r="U21" s="170"/>
      <c r="V21" s="170"/>
      <c r="W21" s="170"/>
      <c r="X21" s="170"/>
      <c r="Y21" s="170"/>
      <c r="Z21" s="31"/>
      <c r="AA21" s="29"/>
      <c r="AB21" s="29"/>
      <c r="AC21" s="29"/>
      <c r="AD21" s="29"/>
    </row>
    <row r="22" spans="2:30" ht="15" customHeight="1">
      <c r="B22" s="33"/>
      <c r="C22" s="202" t="str">
        <f>PTAout!C42</f>
        <v>Maintenance cost per year</v>
      </c>
      <c r="D22" s="202"/>
      <c r="E22" s="89"/>
      <c r="F22" s="274">
        <v>1000</v>
      </c>
      <c r="G22" s="482" t="str">
        <f>IF(code0="","",PTAout!H42)</f>
        <v/>
      </c>
      <c r="H22" s="482" t="str">
        <f>IF(code1="","",PTAout!L42)</f>
        <v/>
      </c>
      <c r="I22" s="482" t="str">
        <f>IF(code2="","",PTAout!Q42)</f>
        <v/>
      </c>
      <c r="J22" s="482" t="str">
        <f>IF(code3="","",PTAout!V42)</f>
        <v/>
      </c>
      <c r="K22" s="482" t="str">
        <f>IF(code4="","",PTAout!AA42)</f>
        <v/>
      </c>
      <c r="L22" s="482" t="str">
        <f>IF(code5="","",PTAout!AF42)</f>
        <v/>
      </c>
      <c r="M22" s="223"/>
      <c r="N22" s="919" t="s">
        <v>743</v>
      </c>
      <c r="O22" s="281">
        <v>100</v>
      </c>
      <c r="P22" s="281">
        <v>0</v>
      </c>
      <c r="Q22" s="473" t="str">
        <f>IF(OR(O22="",P22=""),"! Worst and best values not specified. The tool will not consider this indicator",IF(P22&gt;O22,"! Best value cannot be higher than worst value. The tool will not consider this indicator",IF(AND(G22="",OR(O22&lt;&gt;"",P22&lt;&gt;"")),"! No current value. The tool will not consider this indicator",IF(OR(AND(O22&lt;G22,G22&lt;&gt;""),AND(O22&lt;H22,H22&lt;&gt;""),AND(O22&lt;I22,I22&lt;&gt;""),AND(O22&lt;J22,J22&lt;&gt;""),AND(O22&lt;K22,K22&lt;&gt;""),AND(O22&lt;L22,L22&lt;&gt;"")),"! Worst value cannot be lower than values for options.The tool will not consider this indicator",IF(OR(AND(P22&gt;G22,G22&lt;&gt;""),AND(P22&gt;H22,H22&lt;&gt;""),AND(P22&gt;I22,I22&lt;&gt;""),AND(P22&gt;J22,J22&lt;&gt;""),AND(P22&gt;K22,K22&lt;&gt;""),AND(P22&gt;L22,L22&lt;&gt;"")),"! Best value cannot be higher than values for options.The tool will not consider this indicator","")))))</f>
        <v>! No current value. The tool will not consider this indicator</v>
      </c>
      <c r="R22" s="170"/>
      <c r="S22" s="170"/>
      <c r="T22" s="170"/>
      <c r="U22" s="170"/>
      <c r="V22" s="170"/>
      <c r="W22" s="170"/>
      <c r="X22" s="170"/>
      <c r="Y22" s="170"/>
      <c r="Z22" s="31"/>
      <c r="AA22" s="29"/>
      <c r="AB22" s="29"/>
      <c r="AC22" s="29"/>
      <c r="AD22" s="29"/>
    </row>
    <row r="23" spans="2:30" ht="15" customHeight="1">
      <c r="B23" s="33"/>
      <c r="C23" s="275"/>
      <c r="D23" s="275"/>
      <c r="E23" s="275"/>
      <c r="F23" s="223"/>
      <c r="G23" s="223"/>
      <c r="H23" s="460"/>
      <c r="I23" s="460"/>
      <c r="J23" s="460"/>
      <c r="K23" s="460"/>
      <c r="L23" s="460"/>
      <c r="M23" s="223"/>
      <c r="N23" s="759"/>
      <c r="O23" s="223"/>
      <c r="P23" s="223"/>
      <c r="Q23" s="65"/>
      <c r="R23" s="211"/>
      <c r="S23" s="211"/>
      <c r="T23" s="211"/>
      <c r="U23" s="211"/>
      <c r="V23" s="211"/>
      <c r="W23" s="211"/>
      <c r="X23" s="211"/>
      <c r="Y23" s="211"/>
      <c r="Z23" s="31"/>
      <c r="AA23" s="29"/>
      <c r="AB23" s="29"/>
      <c r="AC23" s="29"/>
      <c r="AD23" s="29"/>
    </row>
    <row r="24" spans="2:30" ht="15" customHeight="1">
      <c r="B24" s="33"/>
      <c r="C24" s="86" t="str">
        <f>PTAout!C44</f>
        <v>Link function</v>
      </c>
      <c r="D24" s="87"/>
      <c r="E24" s="88"/>
      <c r="F24" s="224"/>
      <c r="G24" s="224"/>
      <c r="H24" s="461"/>
      <c r="I24" s="461"/>
      <c r="J24" s="461"/>
      <c r="K24" s="461"/>
      <c r="L24" s="461"/>
      <c r="M24" s="928"/>
      <c r="N24" s="760"/>
      <c r="O24" s="224"/>
      <c r="P24" s="224"/>
      <c r="Q24" s="283"/>
      <c r="R24" s="284"/>
      <c r="S24" s="284"/>
      <c r="T24" s="284"/>
      <c r="U24" s="284"/>
      <c r="V24" s="284"/>
      <c r="W24" s="284"/>
      <c r="X24" s="284"/>
      <c r="Y24" s="284"/>
      <c r="Z24" s="31"/>
      <c r="AA24" s="29"/>
      <c r="AB24" s="29"/>
      <c r="AC24" s="29"/>
      <c r="AD24" s="29"/>
    </row>
    <row r="25" spans="2:30" ht="15" customHeight="1">
      <c r="B25" s="33"/>
      <c r="C25" s="293" t="str">
        <f>PTAout!C45</f>
        <v>Pedestrians</v>
      </c>
      <c r="D25" s="289"/>
      <c r="E25" s="290"/>
      <c r="F25" s="222"/>
      <c r="G25" s="222"/>
      <c r="H25" s="459"/>
      <c r="I25" s="459"/>
      <c r="J25" s="459"/>
      <c r="K25" s="459"/>
      <c r="L25" s="459"/>
      <c r="M25" s="928"/>
      <c r="N25" s="758"/>
      <c r="O25" s="222"/>
      <c r="P25" s="222"/>
      <c r="Q25" s="288"/>
      <c r="R25" s="292"/>
      <c r="S25" s="292"/>
      <c r="T25" s="292"/>
      <c r="U25" s="292"/>
      <c r="V25" s="292"/>
      <c r="W25" s="292"/>
      <c r="X25" s="292"/>
      <c r="Y25" s="292"/>
      <c r="Z25" s="31"/>
      <c r="AA25" s="29"/>
      <c r="AB25" s="29"/>
      <c r="AC25" s="29"/>
      <c r="AD25" s="29"/>
    </row>
    <row r="26" spans="2:30" ht="15" customHeight="1">
      <c r="B26" s="33"/>
      <c r="C26" s="29"/>
      <c r="D26" s="47" t="str">
        <f>PTAout!D46</f>
        <v>Space</v>
      </c>
      <c r="E26" s="27"/>
      <c r="F26" s="190" t="str">
        <f>PTAout!F46</f>
        <v>Width available</v>
      </c>
      <c r="G26" s="405" t="str">
        <f>PTAout!H46</f>
        <v/>
      </c>
      <c r="H26" s="405" t="str">
        <f>PTAout!L46</f>
        <v/>
      </c>
      <c r="I26" s="405" t="str">
        <f>PTAout!Q46</f>
        <v/>
      </c>
      <c r="J26" s="405" t="str">
        <f>PTAout!V46</f>
        <v/>
      </c>
      <c r="K26" s="405" t="str">
        <f>PTAout!AA46</f>
        <v/>
      </c>
      <c r="L26" s="404" t="str">
        <f>PTAout!AF46</f>
        <v/>
      </c>
      <c r="M26" s="45"/>
      <c r="N26" s="919" t="s">
        <v>744</v>
      </c>
      <c r="O26" s="211">
        <v>0</v>
      </c>
      <c r="P26" s="113">
        <v>18</v>
      </c>
      <c r="Q26" s="473" t="str">
        <f>IF(OR(O26="",P26=""),"! Worst and best values not specified. The tool will not consider this indicator",IF(P26&lt;O26,"! Best value cannot be lower than worst value.The tool will not consider this indicator",IF(AND(G26="",OR(O26&lt;&gt;"",P26&lt;&gt;"")),"! No current value. The tool will not consider this indicator",IF(OR(AND(O26&gt;G26,G26&lt;&gt;""),AND(O26&gt;H26,H26&lt;&gt;""),AND(O26&gt;I26,I26&lt;&gt;""),AND(O26&gt;J26,I26&lt;&gt;""),AND(O26&gt;K26,K26&lt;&gt;""),AND(O26&gt;L26,L26&lt;&gt;"")),"! Worst value cannot be higher than values for options.The tool will not consider this indicator",IF(OR(AND(P26&lt;G26,G26&lt;&gt;""),AND(P26&lt;H26,H26&lt;&gt;""),AND(P26&lt;I26,I26&lt;&gt;""),AND(P26&lt;J26,J26&lt;&gt;""),AND(P26&lt;K26,K26&lt;&gt;""),AND(P26&lt;L26,L26&lt;&gt;"")),"! Best value cannot be lower than values for options. The tool will not consider this indicator","")))))</f>
        <v>! No current value. The tool will not consider this indicator</v>
      </c>
      <c r="R26" s="170"/>
      <c r="S26" s="170"/>
      <c r="T26" s="170"/>
      <c r="U26" s="170"/>
      <c r="V26" s="170"/>
      <c r="W26" s="170"/>
      <c r="X26" s="170"/>
      <c r="Y26" s="170"/>
      <c r="Z26" s="31"/>
      <c r="AA26" s="29"/>
      <c r="AB26" s="29"/>
      <c r="AC26" s="29"/>
      <c r="AD26" s="29"/>
    </row>
    <row r="27" spans="2:30" ht="15" customHeight="1">
      <c r="B27" s="33"/>
      <c r="C27" s="29"/>
      <c r="D27" s="47" t="str">
        <f>PTAout!D47</f>
        <v>Volume</v>
      </c>
      <c r="E27" s="27"/>
      <c r="F27" s="190" t="str">
        <f>PTAout!F47</f>
        <v/>
      </c>
      <c r="G27" s="269" t="str">
        <f>PTAout!H47</f>
        <v/>
      </c>
      <c r="H27" s="269" t="str">
        <f>PTAout!L47</f>
        <v/>
      </c>
      <c r="I27" s="269" t="str">
        <f>PTAout!Q47</f>
        <v/>
      </c>
      <c r="J27" s="269" t="str">
        <f>PTAout!V47</f>
        <v/>
      </c>
      <c r="K27" s="269" t="str">
        <f>PTAout!AA47</f>
        <v/>
      </c>
      <c r="L27" s="404" t="str">
        <f>PTAout!AF47</f>
        <v/>
      </c>
      <c r="M27" s="45"/>
      <c r="N27" s="919" t="s">
        <v>744</v>
      </c>
      <c r="O27" s="113">
        <v>0</v>
      </c>
      <c r="P27" s="113">
        <v>6000</v>
      </c>
      <c r="Q27" s="473" t="str">
        <f>IF(OR(O27="",P27=""),"! Worst and best values not specified. The tool will not consider this indicator",IF(P27&lt;O27,"! Best value cannot be lower than worst value.The tool will not consider this indicator",IF(AND(G27="",OR(O27&lt;&gt;"",P27&lt;&gt;"")),"! No current value. The tool will not consider this indicator",IF(OR(AND(O27&gt;G27,G27&lt;&gt;""),AND(O27&gt;H27,H27&lt;&gt;""),AND(O27&gt;I27,I27&lt;&gt;""),AND(O27&gt;J27,I27&lt;&gt;""),AND(O27&gt;K27,K27&lt;&gt;""),AND(O27&gt;L27,L27&lt;&gt;"")),"! Worst value cannot be higher than values for options.The tool will not consider this indicator",IF(OR(AND(P27&lt;G27,G27&lt;&gt;""),AND(P27&lt;H27,H27&lt;&gt;""),AND(P27&lt;I27,I27&lt;&gt;""),AND(P27&lt;J27,J27&lt;&gt;""),AND(P27&lt;K27,K27&lt;&gt;""),AND(P27&lt;L27,L27&lt;&gt;"")),"! Best value cannot be lower than values for options. The tool will not consider this indicator","")))))</f>
        <v>! No current value. The tool will not consider this indicator</v>
      </c>
      <c r="R27" s="170"/>
      <c r="S27" s="170"/>
      <c r="T27" s="170"/>
      <c r="U27" s="170"/>
      <c r="V27" s="170"/>
      <c r="W27" s="170"/>
      <c r="X27" s="170"/>
      <c r="Y27" s="170"/>
      <c r="Z27" s="31"/>
      <c r="AA27" s="29"/>
      <c r="AB27" s="29"/>
      <c r="AC27" s="29"/>
      <c r="AD27" s="29"/>
    </row>
    <row r="28" spans="2:30" ht="15" customHeight="1">
      <c r="B28" s="33"/>
      <c r="C28" s="29"/>
      <c r="D28" s="47" t="str">
        <f>PTAout!D48</f>
        <v>Speed</v>
      </c>
      <c r="E28" s="27"/>
      <c r="F28" s="190" t="str">
        <f>PTAout!F48</f>
        <v/>
      </c>
      <c r="G28" s="399" t="str">
        <f>PTAout!H48</f>
        <v/>
      </c>
      <c r="H28" s="458" t="str">
        <f>PTAout!L48</f>
        <v/>
      </c>
      <c r="I28" s="458" t="str">
        <f>PTAout!Q48</f>
        <v/>
      </c>
      <c r="J28" s="458" t="str">
        <f>PTAout!V48</f>
        <v/>
      </c>
      <c r="K28" s="458" t="str">
        <f>PTAout!AA48</f>
        <v/>
      </c>
      <c r="L28" s="458" t="str">
        <f>PTAout!AF48</f>
        <v/>
      </c>
      <c r="M28" s="45"/>
      <c r="N28" s="919" t="s">
        <v>744</v>
      </c>
      <c r="O28" s="113">
        <v>1</v>
      </c>
      <c r="P28" s="113">
        <v>60</v>
      </c>
      <c r="Q28" s="473" t="str">
        <f>IF(OR(O28="",P28=""),"! Worst and best values not specified. The tool will not consider this indicator",IF(P28&lt;O28,"! Best value cannot be lower than worst value.The tool will not consider this indicator",IF(AND(G28="",OR(O28&lt;&gt;"",P28&lt;&gt;"")),"! No current value. The tool will not consider this indicator",IF(OR(AND(O28&gt;G28,G28&lt;&gt;""),AND(O28&gt;H28,H28&lt;&gt;""),AND(O28&gt;I28,I28&lt;&gt;""),AND(O28&gt;J28,I28&lt;&gt;""),AND(O28&gt;K28,K28&lt;&gt;""),AND(O28&gt;L28,L28&lt;&gt;"")),"! Worst value cannot be higher than values for options.The tool will not consider this indicator",IF(OR(AND(P28&lt;G28,G28&lt;&gt;""),AND(P28&lt;H28,H28&lt;&gt;""),AND(P28&lt;I28,I28&lt;&gt;""),AND(P28&lt;J28,J28&lt;&gt;""),AND(P28&lt;K28,K28&lt;&gt;""),AND(P28&lt;L28,L28&lt;&gt;"")),"! Best value cannot be lower than values for options. The tool will not consider this indicator","")))))</f>
        <v>! No current value. The tool will not consider this indicator</v>
      </c>
      <c r="R28" s="170"/>
      <c r="S28" s="170"/>
      <c r="T28" s="170"/>
      <c r="U28" s="170"/>
      <c r="V28" s="170"/>
      <c r="W28" s="170"/>
      <c r="X28" s="170"/>
      <c r="Y28" s="170"/>
      <c r="Z28" s="31"/>
      <c r="AA28" s="29"/>
      <c r="AB28" s="29"/>
      <c r="AC28" s="29"/>
      <c r="AD28" s="29"/>
    </row>
    <row r="29" spans="2:30" ht="15" customHeight="1">
      <c r="B29" s="33"/>
      <c r="C29" s="29"/>
      <c r="D29" s="47" t="str">
        <f>PTAout!D49</f>
        <v>Travel time</v>
      </c>
      <c r="E29" s="27"/>
      <c r="F29" s="190" t="str">
        <f>PTAout!F49</f>
        <v/>
      </c>
      <c r="G29" s="429" t="str">
        <f>PTAout!H49</f>
        <v/>
      </c>
      <c r="H29" s="458" t="str">
        <f>PTAout!L49</f>
        <v/>
      </c>
      <c r="I29" s="458" t="str">
        <f>PTAout!Q49</f>
        <v/>
      </c>
      <c r="J29" s="458" t="str">
        <f>PTAout!V49</f>
        <v/>
      </c>
      <c r="K29" s="458" t="str">
        <f>PTAout!AA49</f>
        <v/>
      </c>
      <c r="L29" s="458" t="str">
        <f>PTAout!AF49</f>
        <v/>
      </c>
      <c r="M29" s="45"/>
      <c r="N29" s="919" t="s">
        <v>743</v>
      </c>
      <c r="O29" s="113">
        <v>40</v>
      </c>
      <c r="P29" s="113">
        <v>1</v>
      </c>
      <c r="Q29" s="473" t="str">
        <f>IF(OR(O29="",P29=""),"! Worst and best values not specified. The tool will not consider this indicator",IF(P29&gt;O29,"! Best value cannot be higher than worst value. The tool will not consider this indicator",IF(AND(G29="",OR(O29&lt;&gt;"",P29&lt;&gt;"")),"! No current value. The tool will not consider this indicator",IF(OR(AND(O29&lt;G29,G29&lt;&gt;""),AND(O29&lt;H29,H29&lt;&gt;""),AND(O29&lt;I29,I29&lt;&gt;""),AND(O29&lt;J29,J29&lt;&gt;""),AND(O29&lt;K29,K29&lt;&gt;""),AND(O29&lt;L29,L29&lt;&gt;"")),"! Worst value cannot be lower than values for options.The tool will not consider this indicator",IF(OR(AND(P29&gt;G29,G29&lt;&gt;""),AND(P29&gt;H29,H29&lt;&gt;""),AND(P29&gt;I29,I29&lt;&gt;""),AND(P29&gt;J29,J29&lt;&gt;""),AND(P29&gt;K29,K29&lt;&gt;""),AND(P29&gt;L29,L29&lt;&gt;"")),"! Best value cannot be higher than values for options.The tool will not consider this indicator","")))))</f>
        <v>! No current value. The tool will not consider this indicator</v>
      </c>
      <c r="R29" s="170"/>
      <c r="S29" s="170"/>
      <c r="T29" s="170"/>
      <c r="U29" s="170"/>
      <c r="V29" s="170"/>
      <c r="W29" s="170"/>
      <c r="X29" s="170"/>
      <c r="Y29" s="170"/>
      <c r="Z29" s="31"/>
      <c r="AA29" s="29"/>
      <c r="AB29" s="29"/>
      <c r="AC29" s="29"/>
      <c r="AD29" s="29"/>
    </row>
    <row r="30" spans="2:30" ht="15" customHeight="1">
      <c r="B30" s="33"/>
      <c r="C30" s="29"/>
      <c r="D30" s="47" t="str">
        <f>PTAout!D50</f>
        <v>Delays</v>
      </c>
      <c r="E30" s="27"/>
      <c r="F30" s="190" t="str">
        <f>PTAout!F50</f>
        <v/>
      </c>
      <c r="G30" s="399" t="str">
        <f>PTAout!H50</f>
        <v/>
      </c>
      <c r="H30" s="458" t="str">
        <f>PTAout!L50</f>
        <v/>
      </c>
      <c r="I30" s="458" t="str">
        <f>PTAout!Q50</f>
        <v/>
      </c>
      <c r="J30" s="458" t="str">
        <f>PTAout!V50</f>
        <v/>
      </c>
      <c r="K30" s="458" t="str">
        <f>PTAout!AA50</f>
        <v/>
      </c>
      <c r="L30" s="458" t="str">
        <f>PTAout!AF50</f>
        <v/>
      </c>
      <c r="M30" s="45"/>
      <c r="N30" s="761" t="s">
        <v>743</v>
      </c>
      <c r="O30" s="113">
        <v>2</v>
      </c>
      <c r="P30" s="113">
        <v>1</v>
      </c>
      <c r="Q30" s="473" t="str">
        <f>IF(OR(O30="",P30=""),"! Worst and best values not specified. The tool will not consider this indicator",IF(P30&gt;O30,"! Best value cannot be higher than worst value. The tool will not consider this indicator",IF(AND(G30="",OR(O30&lt;&gt;"",P30&lt;&gt;"")),"! No current value. The tool will not consider this indicator",IF(OR(AND(O30&lt;G30,G30&lt;&gt;""),AND(O30&lt;H30,H30&lt;&gt;""),AND(O30&lt;I30,I30&lt;&gt;""),AND(O30&lt;J30,J30&lt;&gt;""),AND(O30&lt;K30,K30&lt;&gt;""),AND(O30&lt;L30,L30&lt;&gt;"")),"! Worst value cannot be lower than values for options.The tool will not consider this indicator",IF(OR(AND(P30&gt;G30,G30&lt;&gt;""),AND(P30&gt;H30,H30&lt;&gt;""),AND(P30&gt;I30,I30&lt;&gt;""),AND(P30&gt;J30,J30&lt;&gt;""),AND(P30&gt;K30,K30&lt;&gt;""),AND(P30&gt;L30,L30&lt;&gt;"")),"! Best value cannot be higher than values for options.The tool will not consider this indicator","")))))</f>
        <v>! No current value. The tool will not consider this indicator</v>
      </c>
      <c r="R30" s="170"/>
      <c r="S30" s="170"/>
      <c r="T30" s="170"/>
      <c r="U30" s="170"/>
      <c r="V30" s="170"/>
      <c r="W30" s="170"/>
      <c r="X30" s="170"/>
      <c r="Y30" s="170"/>
      <c r="Z30" s="31"/>
      <c r="AA30" s="29"/>
      <c r="AB30" s="29"/>
      <c r="AC30" s="29"/>
      <c r="AD30" s="29"/>
    </row>
    <row r="31" spans="2:30" ht="15" customHeight="1">
      <c r="B31" s="33"/>
      <c r="C31" s="29"/>
      <c r="D31" s="47" t="str">
        <f>PTAout!D51</f>
        <v>Reliability</v>
      </c>
      <c r="E31" s="27"/>
      <c r="F31" s="190" t="str">
        <f>PTAout!F51</f>
        <v/>
      </c>
      <c r="G31" s="399" t="str">
        <f>PTAout!H51</f>
        <v/>
      </c>
      <c r="H31" s="458" t="str">
        <f>PTAout!L51</f>
        <v/>
      </c>
      <c r="I31" s="458" t="str">
        <f>PTAout!Q51</f>
        <v/>
      </c>
      <c r="J31" s="458" t="str">
        <f>PTAout!V51</f>
        <v/>
      </c>
      <c r="K31" s="458" t="str">
        <f>PTAout!AA51</f>
        <v/>
      </c>
      <c r="L31" s="458" t="str">
        <f>PTAout!AF51</f>
        <v/>
      </c>
      <c r="M31" s="45"/>
      <c r="N31" s="761" t="s">
        <v>743</v>
      </c>
      <c r="O31" s="453"/>
      <c r="P31" s="453"/>
      <c r="Q31" s="473" t="str">
        <f>IF(OR(O31="",P31=""),"! Worst and best values not specified. The tool will not consider this indicator",IF(P31&gt;O31,"! Best value cannot be higher than worst value. The tool will not consider this indicator",IF(AND(G31="",OR(O31&lt;&gt;"",P31&lt;&gt;"")),"! No current value. The tool will not consider this indicator",IF(OR(AND(O31&lt;G31,G31&lt;&gt;""),AND(O31&lt;H31,H31&lt;&gt;""),AND(O31&lt;I31,I31&lt;&gt;""),AND(O31&lt;J31,J31&lt;&gt;""),AND(O31&lt;K31,K31&lt;&gt;""),AND(O31&lt;L31,L31&lt;&gt;"")),"! Worst value cannot be lower than values for options.The tool will not consider this indicator",IF(OR(AND(P31&gt;G31,G31&lt;&gt;""),AND(P31&gt;H31,H31&lt;&gt;""),AND(P31&gt;I31,I31&lt;&gt;""),AND(P31&gt;J31,J31&lt;&gt;""),AND(P31&gt;K31,K31&lt;&gt;""),AND(P31&gt;L31,L31&lt;&gt;"")),"! Best value cannot be higher than values for options.The tool will not consider this indicator","")))))</f>
        <v>! Worst and best values not specified. The tool will not consider this indicator</v>
      </c>
      <c r="R31" s="170"/>
      <c r="S31" s="170"/>
      <c r="T31" s="170"/>
      <c r="U31" s="170"/>
      <c r="V31" s="170"/>
      <c r="W31" s="170"/>
      <c r="X31" s="170"/>
      <c r="Y31" s="170"/>
      <c r="Z31" s="31"/>
      <c r="AA31" s="29"/>
      <c r="AB31" s="29"/>
      <c r="AC31" s="29"/>
      <c r="AD31" s="29"/>
    </row>
    <row r="32" spans="2:30" ht="15" customHeight="1">
      <c r="B32" s="33"/>
      <c r="C32" s="59"/>
      <c r="D32" s="85" t="str">
        <f>PTAout!D52</f>
        <v>Trip quality</v>
      </c>
      <c r="E32" s="60"/>
      <c r="F32" s="294" t="str">
        <f>PTAout!F52</f>
        <v/>
      </c>
      <c r="G32" s="302" t="str">
        <f>PTAout!H52</f>
        <v/>
      </c>
      <c r="H32" s="302" t="str">
        <f>PTAout!L52</f>
        <v/>
      </c>
      <c r="I32" s="302" t="str">
        <f>PTAout!Q52</f>
        <v/>
      </c>
      <c r="J32" s="302" t="str">
        <f>PTAout!V52</f>
        <v/>
      </c>
      <c r="K32" s="302" t="str">
        <f>PTAout!AA52</f>
        <v/>
      </c>
      <c r="L32" s="302" t="str">
        <f>PTAout!AF52</f>
        <v/>
      </c>
      <c r="M32" s="928"/>
      <c r="N32" s="762" t="s">
        <v>743</v>
      </c>
      <c r="O32" s="454">
        <v>1</v>
      </c>
      <c r="P32" s="454">
        <v>0</v>
      </c>
      <c r="Q32" s="473" t="str">
        <f>IF(OR(O32="",P32=""),"! Worst and best values not specified. The tool will not consider this indicator",IF(P32&gt;O32,"! Best value cannot be higher than worst value. The tool will not consider this indicator",IF(AND(G32="",OR(O32&lt;&gt;"",P32&lt;&gt;"")),"! No current value. The tool will not consider this indicator",IF(OR(AND(O32&lt;G32,G32&lt;&gt;""),AND(O32&lt;H32,H32&lt;&gt;""),AND(O32&lt;I32,I32&lt;&gt;""),AND(O32&lt;J32,J32&lt;&gt;""),AND(O32&lt;K32,K32&lt;&gt;""),AND(O32&lt;L32,L32&lt;&gt;"")),"! Worst value cannot be lower than values for options.The tool will not consider this indicator",IF(OR(AND(P32&gt;G32,G32&lt;&gt;""),AND(P32&gt;H32,H32&lt;&gt;""),AND(P32&gt;I32,I32&lt;&gt;""),AND(P32&gt;J32,J32&lt;&gt;""),AND(P32&gt;K32,K32&lt;&gt;""),AND(P32&gt;L32,L32&lt;&gt;"")),"! Best value cannot be higher than values for options.The tool will not consider this indicator","")))))</f>
        <v>! No current value. The tool will not consider this indicator</v>
      </c>
      <c r="R32" s="307"/>
      <c r="S32" s="307"/>
      <c r="T32" s="307"/>
      <c r="U32" s="307"/>
      <c r="V32" s="307"/>
      <c r="W32" s="307"/>
      <c r="X32" s="307"/>
      <c r="Y32" s="307"/>
      <c r="Z32" s="31"/>
      <c r="AA32" s="29"/>
      <c r="AB32" s="29"/>
      <c r="AC32" s="29"/>
      <c r="AD32" s="29"/>
    </row>
    <row r="33" spans="2:30" ht="15" customHeight="1">
      <c r="B33" s="33"/>
      <c r="C33" s="293" t="str">
        <f>PTAout!C53</f>
        <v>Cyclists</v>
      </c>
      <c r="D33" s="289"/>
      <c r="E33" s="290"/>
      <c r="F33" s="369"/>
      <c r="G33" s="296"/>
      <c r="H33" s="296"/>
      <c r="I33" s="296"/>
      <c r="J33" s="296"/>
      <c r="K33" s="296"/>
      <c r="L33" s="296"/>
      <c r="M33" s="928"/>
      <c r="N33" s="758"/>
      <c r="O33" s="398"/>
      <c r="P33" s="398"/>
      <c r="Q33" s="474"/>
      <c r="R33" s="105"/>
      <c r="S33" s="105"/>
      <c r="T33" s="105"/>
      <c r="U33" s="105"/>
      <c r="V33" s="105"/>
      <c r="W33" s="105"/>
      <c r="X33" s="105"/>
      <c r="Y33" s="105"/>
      <c r="Z33" s="31"/>
      <c r="AA33" s="29"/>
      <c r="AB33" s="29"/>
      <c r="AC33" s="29"/>
      <c r="AD33" s="29"/>
    </row>
    <row r="34" spans="2:30" ht="15" customHeight="1">
      <c r="B34" s="33"/>
      <c r="C34" s="29"/>
      <c r="D34" s="47" t="str">
        <f>PTAout!D54</f>
        <v>Space</v>
      </c>
      <c r="E34" s="27"/>
      <c r="F34" s="190" t="str">
        <f>PTAout!F54</f>
        <v>Width available (dedicated space)</v>
      </c>
      <c r="G34" s="405" t="str">
        <f>PTAout!H54</f>
        <v/>
      </c>
      <c r="H34" s="405" t="str">
        <f>PTAout!L54</f>
        <v/>
      </c>
      <c r="I34" s="405" t="str">
        <f>PTAout!Q54</f>
        <v/>
      </c>
      <c r="J34" s="405" t="str">
        <f>PTAout!V54</f>
        <v/>
      </c>
      <c r="K34" s="405" t="str">
        <f>PTAout!AA54</f>
        <v/>
      </c>
      <c r="L34" s="404" t="str">
        <f>PTAout!AF54</f>
        <v/>
      </c>
      <c r="M34" s="45"/>
      <c r="N34" s="919" t="s">
        <v>744</v>
      </c>
      <c r="O34" s="211">
        <v>0</v>
      </c>
      <c r="P34" s="113">
        <v>4</v>
      </c>
      <c r="Q34" s="473" t="str">
        <f>IF(OR(O34="",P34=""),"! Worst and best values not specified. The tool will not consider this indicator",IF(P34&lt;O34,"! Best value cannot be lower than worst value.The tool will not consider this indicator",IF(AND(G34="",OR(O34&lt;&gt;"",P34&lt;&gt;"")),"! No current value. The tool will not consider this indicator",IF(OR(AND(O34&gt;G34,G34&lt;&gt;""),AND(O34&gt;H34,H34&lt;&gt;""),AND(O34&gt;I34,I34&lt;&gt;""),AND(O34&gt;J34,I34&lt;&gt;""),AND(O34&gt;K34,K34&lt;&gt;""),AND(O34&gt;L34,L34&lt;&gt;"")),"! Worst value cannot be higher than values for options.The tool will not consider this indicator",IF(OR(AND(P34&lt;G34,G34&lt;&gt;""),AND(P34&lt;H34,H34&lt;&gt;""),AND(P34&lt;I34,I34&lt;&gt;""),AND(P34&lt;J34,J34&lt;&gt;""),AND(P34&lt;K34,K34&lt;&gt;""),AND(P34&lt;L34,L34&lt;&gt;"")),"! Best value cannot be lower than values for options. The tool will not consider this indicator","")))))</f>
        <v>! No current value. The tool will not consider this indicator</v>
      </c>
      <c r="R34" s="170"/>
      <c r="S34" s="170"/>
      <c r="T34" s="170"/>
      <c r="U34" s="170"/>
      <c r="V34" s="170"/>
      <c r="W34" s="170"/>
      <c r="X34" s="170"/>
      <c r="Y34" s="170"/>
      <c r="Z34" s="31"/>
      <c r="AA34" s="29"/>
      <c r="AB34" s="29"/>
      <c r="AC34" s="29"/>
      <c r="AD34" s="29"/>
    </row>
    <row r="35" spans="2:30" ht="15" customHeight="1">
      <c r="B35" s="33"/>
      <c r="C35" s="29"/>
      <c r="D35" s="47" t="str">
        <f>PTAout!D55</f>
        <v>Volume</v>
      </c>
      <c r="E35" s="27"/>
      <c r="F35" s="190" t="str">
        <f>PTAout!F55</f>
        <v/>
      </c>
      <c r="G35" s="269" t="str">
        <f>PTAout!H55</f>
        <v/>
      </c>
      <c r="H35" s="269" t="str">
        <f>PTAout!L55</f>
        <v/>
      </c>
      <c r="I35" s="269" t="str">
        <f>PTAout!Q55</f>
        <v/>
      </c>
      <c r="J35" s="269" t="str">
        <f>PTAout!V55</f>
        <v/>
      </c>
      <c r="K35" s="269" t="str">
        <f>PTAout!AA55</f>
        <v/>
      </c>
      <c r="L35" s="404" t="str">
        <f>PTAout!AF55</f>
        <v/>
      </c>
      <c r="M35" s="45"/>
      <c r="N35" s="919" t="s">
        <v>744</v>
      </c>
      <c r="O35" s="113">
        <v>0</v>
      </c>
      <c r="P35" s="113">
        <v>12000</v>
      </c>
      <c r="Q35" s="473" t="str">
        <f>IF(OR(O35="",P35=""),"! Worst and best values not specified. The tool will not consider this indicator",IF(P35&lt;O35,"! Best value cannot be lower than worst value.The tool will not consider this indicator",IF(AND(G35="",OR(O35&lt;&gt;"",P35&lt;&gt;"")),"! No current value. The tool will not consider this indicator",IF(OR(AND(O35&gt;G35,G35&lt;&gt;""),AND(O35&gt;H35,H35&lt;&gt;""),AND(O35&gt;I35,I35&lt;&gt;""),AND(O35&gt;J35,I35&lt;&gt;""),AND(O35&gt;K35,K35&lt;&gt;""),AND(O35&gt;L35,L35&lt;&gt;"")),"! Worst value cannot be higher than values for options.The tool will not consider this indicator",IF(OR(AND(P35&lt;G35,G35&lt;&gt;""),AND(P35&lt;H35,H35&lt;&gt;""),AND(P35&lt;I35,I35&lt;&gt;""),AND(P35&lt;J35,J35&lt;&gt;""),AND(P35&lt;K35,K35&lt;&gt;""),AND(P35&lt;L35,L35&lt;&gt;"")),"! Best value cannot be lower than values for options. The tool will not consider this indicator","")))))</f>
        <v>! No current value. The tool will not consider this indicator</v>
      </c>
      <c r="R35" s="170"/>
      <c r="S35" s="170"/>
      <c r="T35" s="170"/>
      <c r="U35" s="170"/>
      <c r="V35" s="170"/>
      <c r="W35" s="170"/>
      <c r="X35" s="170"/>
      <c r="Y35" s="170"/>
      <c r="Z35" s="31"/>
      <c r="AA35" s="29"/>
      <c r="AB35" s="29"/>
      <c r="AC35" s="29"/>
      <c r="AD35" s="29"/>
    </row>
    <row r="36" spans="2:30" ht="15" customHeight="1">
      <c r="B36" s="33"/>
      <c r="C36" s="29"/>
      <c r="D36" s="47" t="str">
        <f>PTAout!D56</f>
        <v>Speed</v>
      </c>
      <c r="E36" s="27"/>
      <c r="F36" s="190" t="str">
        <f>PTAout!F56</f>
        <v/>
      </c>
      <c r="G36" s="399" t="str">
        <f>PTAout!H56</f>
        <v/>
      </c>
      <c r="H36" s="458" t="str">
        <f>PTAout!L56</f>
        <v/>
      </c>
      <c r="I36" s="458" t="str">
        <f>PTAout!Q56</f>
        <v/>
      </c>
      <c r="J36" s="458" t="str">
        <f>PTAout!V56</f>
        <v/>
      </c>
      <c r="K36" s="458" t="str">
        <f>PTAout!AA56</f>
        <v/>
      </c>
      <c r="L36" s="458" t="str">
        <f>PTAout!AF56</f>
        <v/>
      </c>
      <c r="M36" s="45"/>
      <c r="N36" s="919" t="s">
        <v>744</v>
      </c>
      <c r="O36" s="113">
        <v>5</v>
      </c>
      <c r="P36" s="113">
        <v>60</v>
      </c>
      <c r="Q36" s="473" t="str">
        <f>IF(OR(O36="",P36=""),"! Worst and best values not specified. The tool will not consider this indicator",IF(P36&lt;O36,"! Best value cannot be lower than worst value.The tool will not consider this indicator",IF(AND(G36="",OR(O36&lt;&gt;"",P36&lt;&gt;"")),"! No current value. The tool will not consider this indicator",IF(OR(AND(O36&gt;G36,G36&lt;&gt;""),AND(O36&gt;H36,H36&lt;&gt;""),AND(O36&gt;I36,I36&lt;&gt;""),AND(O36&gt;J36,I36&lt;&gt;""),AND(O36&gt;K36,K36&lt;&gt;""),AND(O36&gt;L36,L36&lt;&gt;"")),"! Worst value cannot be higher than values for options.The tool will not consider this indicator",IF(OR(AND(P36&lt;G36,G36&lt;&gt;""),AND(P36&lt;H36,H36&lt;&gt;""),AND(P36&lt;I36,I36&lt;&gt;""),AND(P36&lt;J36,J36&lt;&gt;""),AND(P36&lt;K36,K36&lt;&gt;""),AND(P36&lt;L36,L36&lt;&gt;"")),"! Best value cannot be lower than values for options. The tool will not consider this indicator","")))))</f>
        <v>! No current value. The tool will not consider this indicator</v>
      </c>
      <c r="R36" s="170"/>
      <c r="S36" s="170"/>
      <c r="T36" s="170"/>
      <c r="U36" s="170"/>
      <c r="V36" s="170"/>
      <c r="W36" s="170"/>
      <c r="X36" s="170"/>
      <c r="Y36" s="170"/>
      <c r="Z36" s="31"/>
      <c r="AA36" s="29"/>
      <c r="AB36" s="29"/>
      <c r="AC36" s="29"/>
      <c r="AD36" s="29"/>
    </row>
    <row r="37" spans="2:30" ht="15" customHeight="1">
      <c r="B37" s="33"/>
      <c r="C37" s="29"/>
      <c r="D37" s="47" t="str">
        <f>PTAout!D57</f>
        <v>Travel time</v>
      </c>
      <c r="E37" s="27"/>
      <c r="F37" s="190" t="str">
        <f>PTAout!F57</f>
        <v/>
      </c>
      <c r="G37" s="429" t="str">
        <f>PTAout!H57</f>
        <v/>
      </c>
      <c r="H37" s="458" t="str">
        <f>PTAout!L57</f>
        <v/>
      </c>
      <c r="I37" s="458" t="str">
        <f>PTAout!Q57</f>
        <v/>
      </c>
      <c r="J37" s="458" t="str">
        <f>PTAout!V57</f>
        <v/>
      </c>
      <c r="K37" s="458" t="str">
        <f>PTAout!AA57</f>
        <v/>
      </c>
      <c r="L37" s="458" t="str">
        <f>PTAout!AF57</f>
        <v/>
      </c>
      <c r="M37" s="45"/>
      <c r="N37" s="919" t="s">
        <v>743</v>
      </c>
      <c r="O37" s="113">
        <v>60</v>
      </c>
      <c r="P37" s="113">
        <v>1</v>
      </c>
      <c r="Q37" s="473" t="str">
        <f>IF(OR(O37="",P37=""),"! Worst and best values not specified. The tool will not consider this indicator",IF(P37&gt;O37,"! Best value cannot be higher than worst value. The tool will not consider this indicator",IF(AND(G37="",OR(O37&lt;&gt;"",P37&lt;&gt;"")),"! No current value. The tool will not consider this indicator",IF(OR(AND(O37&lt;G37,G37&lt;&gt;""),AND(O37&lt;H37,H37&lt;&gt;""),AND(O37&lt;I37,I37&lt;&gt;""),AND(O37&lt;J37,J37&lt;&gt;""),AND(O37&lt;K37,K37&lt;&gt;""),AND(O37&lt;L37,L37&lt;&gt;"")),"! Worst value cannot be lower than values for options.The tool will not consider this indicator",IF(OR(AND(P37&gt;G37,G37&lt;&gt;""),AND(P37&gt;H37,H37&lt;&gt;""),AND(P37&gt;I37,I37&lt;&gt;""),AND(P37&gt;J37,J37&lt;&gt;""),AND(P37&gt;K37,K37&lt;&gt;""),AND(P37&gt;L37,L37&lt;&gt;"")),"! Best value cannot be higher than values for options.The tool will not consider this indicator","")))))</f>
        <v>! No current value. The tool will not consider this indicator</v>
      </c>
      <c r="R37" s="170"/>
      <c r="S37" s="170"/>
      <c r="T37" s="170"/>
      <c r="U37" s="170"/>
      <c r="V37" s="170"/>
      <c r="W37" s="170"/>
      <c r="X37" s="170"/>
      <c r="Y37" s="170"/>
      <c r="Z37" s="31"/>
      <c r="AA37" s="29"/>
      <c r="AB37" s="29"/>
      <c r="AC37" s="29"/>
      <c r="AD37" s="29"/>
    </row>
    <row r="38" spans="2:30" ht="15" customHeight="1">
      <c r="B38" s="33"/>
      <c r="C38" s="29"/>
      <c r="D38" s="47" t="str">
        <f>PTAout!D58</f>
        <v>Delays</v>
      </c>
      <c r="E38" s="27"/>
      <c r="F38" s="190" t="str">
        <f>PTAout!F58</f>
        <v/>
      </c>
      <c r="G38" s="399" t="str">
        <f>PTAout!H58</f>
        <v/>
      </c>
      <c r="H38" s="458" t="str">
        <f>PTAout!L58</f>
        <v/>
      </c>
      <c r="I38" s="458" t="str">
        <f>PTAout!Q58</f>
        <v/>
      </c>
      <c r="J38" s="458" t="str">
        <f>PTAout!V58</f>
        <v/>
      </c>
      <c r="K38" s="458" t="str">
        <f>PTAout!AA58</f>
        <v/>
      </c>
      <c r="L38" s="458" t="str">
        <f>PTAout!AF58</f>
        <v/>
      </c>
      <c r="M38" s="45"/>
      <c r="N38" s="761" t="s">
        <v>743</v>
      </c>
      <c r="O38" s="113">
        <v>1.5</v>
      </c>
      <c r="P38" s="113">
        <v>0</v>
      </c>
      <c r="Q38" s="473" t="str">
        <f>IF(OR(O38="",P38=""),"! Worst and best values not specified. The tool will not consider this indicator",IF(P38&gt;O38,"! Best value cannot be higher than worst value. The tool will not consider this indicator",IF(AND(G38="",OR(O38&lt;&gt;"",P38&lt;&gt;"")),"! No current value. The tool will not consider this indicator",IF(OR(AND(O38&lt;G38,G38&lt;&gt;""),AND(O38&lt;H38,H38&lt;&gt;""),AND(O38&lt;I38,I38&lt;&gt;""),AND(O38&lt;J38,J38&lt;&gt;""),AND(O38&lt;K38,K38&lt;&gt;""),AND(O38&lt;L38,L38&lt;&gt;"")),"! Worst value cannot be lower than values for options.The tool will not consider this indicator",IF(OR(AND(P38&gt;G38,G38&lt;&gt;""),AND(P38&gt;H38,H38&lt;&gt;""),AND(P38&gt;I38,I38&lt;&gt;""),AND(P38&gt;J38,J38&lt;&gt;""),AND(P38&gt;K38,K38&lt;&gt;""),AND(P38&gt;L38,L38&lt;&gt;"")),"! Best value cannot be higher than values for options.The tool will not consider this indicator","")))))</f>
        <v>! No current value. The tool will not consider this indicator</v>
      </c>
      <c r="R38" s="170"/>
      <c r="S38" s="170"/>
      <c r="T38" s="170"/>
      <c r="U38" s="170"/>
      <c r="V38" s="170"/>
      <c r="W38" s="170"/>
      <c r="X38" s="170"/>
      <c r="Y38" s="170"/>
      <c r="Z38" s="31"/>
      <c r="AA38" s="29"/>
      <c r="AB38" s="29"/>
      <c r="AC38" s="29"/>
      <c r="AD38" s="29"/>
    </row>
    <row r="39" spans="2:30" ht="15" customHeight="1">
      <c r="B39" s="33"/>
      <c r="C39" s="29"/>
      <c r="D39" s="47" t="str">
        <f>PTAout!D59</f>
        <v>Reliability</v>
      </c>
      <c r="E39" s="27"/>
      <c r="F39" s="190" t="str">
        <f>PTAout!F59</f>
        <v/>
      </c>
      <c r="G39" s="399" t="str">
        <f>PTAout!H59</f>
        <v/>
      </c>
      <c r="H39" s="458" t="str">
        <f>PTAout!L59</f>
        <v/>
      </c>
      <c r="I39" s="458" t="str">
        <f>PTAout!Q59</f>
        <v/>
      </c>
      <c r="J39" s="458" t="str">
        <f>PTAout!V59</f>
        <v/>
      </c>
      <c r="K39" s="458" t="str">
        <f>PTAout!AA59</f>
        <v/>
      </c>
      <c r="L39" s="458" t="str">
        <f>PTAout!AF59</f>
        <v/>
      </c>
      <c r="M39" s="45"/>
      <c r="N39" s="761" t="s">
        <v>743</v>
      </c>
      <c r="O39" s="453"/>
      <c r="P39" s="453"/>
      <c r="Q39" s="473" t="str">
        <f>IF(OR(O39="",P39=""),"! Worst and best values not specified. The tool will not consider this indicator",IF(P39&gt;O39,"! Best value cannot be higher than worst value. The tool will not consider this indicator",IF(AND(G39="",OR(O39&lt;&gt;"",P39&lt;&gt;"")),"! No current value. The tool will not consider this indicator",IF(OR(AND(O39&lt;G39,G39&lt;&gt;""),AND(O39&lt;H39,H39&lt;&gt;""),AND(O39&lt;I39,I39&lt;&gt;""),AND(O39&lt;J39,J39&lt;&gt;""),AND(O39&lt;K39,K39&lt;&gt;""),AND(O39&lt;L39,L39&lt;&gt;"")),"! Worst value cannot be lower than values for options.The tool will not consider this indicator",IF(OR(AND(P39&gt;G39,G39&lt;&gt;""),AND(P39&gt;H39,H39&lt;&gt;""),AND(P39&gt;I39,I39&lt;&gt;""),AND(P39&gt;J39,J39&lt;&gt;""),AND(P39&gt;K39,K39&lt;&gt;""),AND(P39&gt;L39,L39&lt;&gt;"")),"! Best value cannot be higher than values for options.The tool will not consider this indicator","")))))</f>
        <v>! Worst and best values not specified. The tool will not consider this indicator</v>
      </c>
      <c r="R39" s="170"/>
      <c r="S39" s="170"/>
      <c r="T39" s="170"/>
      <c r="U39" s="170"/>
      <c r="V39" s="170"/>
      <c r="W39" s="170"/>
      <c r="X39" s="170"/>
      <c r="Y39" s="170"/>
      <c r="Z39" s="31"/>
      <c r="AA39" s="29"/>
      <c r="AB39" s="29"/>
      <c r="AC39" s="29"/>
      <c r="AD39" s="29"/>
    </row>
    <row r="40" spans="2:30" ht="15" customHeight="1">
      <c r="B40" s="33"/>
      <c r="C40" s="59"/>
      <c r="D40" s="85" t="str">
        <f>PTAout!D60</f>
        <v>Trip quality</v>
      </c>
      <c r="E40" s="60"/>
      <c r="F40" s="294" t="str">
        <f>PTAout!F60</f>
        <v/>
      </c>
      <c r="G40" s="302" t="str">
        <f>PTAout!H60</f>
        <v/>
      </c>
      <c r="H40" s="302" t="str">
        <f>PTAout!L60</f>
        <v/>
      </c>
      <c r="I40" s="302" t="str">
        <f>PTAout!Q60</f>
        <v/>
      </c>
      <c r="J40" s="302" t="str">
        <f>PTAout!V60</f>
        <v/>
      </c>
      <c r="K40" s="302" t="str">
        <f>PTAout!AA60</f>
        <v/>
      </c>
      <c r="L40" s="302" t="str">
        <f>PTAout!AF60</f>
        <v/>
      </c>
      <c r="M40" s="45"/>
      <c r="N40" s="762" t="s">
        <v>743</v>
      </c>
      <c r="O40" s="454">
        <v>0</v>
      </c>
      <c r="P40" s="454">
        <v>100</v>
      </c>
      <c r="Q40" s="473" t="str">
        <f>IF(OR(O40="",P40=""),"! Worst and best values not specified. The tool will not consider this indicator",IF(P40&gt;O40,"! Best value cannot be higher than worst value. The tool will not consider this indicator",IF(AND(G40="",OR(O40&lt;&gt;"",P40&lt;&gt;"")),"! No current value. The tool will not consider this indicator",IF(OR(AND(O40&lt;G40,G40&lt;&gt;""),AND(O40&lt;H40,H40&lt;&gt;""),AND(O40&lt;I40,I40&lt;&gt;""),AND(O40&lt;J40,J40&lt;&gt;""),AND(O40&lt;K40,K40&lt;&gt;""),AND(O40&lt;L40,L40&lt;&gt;"")),"! Worst value cannot be lower than values for options.The tool will not consider this indicator",IF(OR(AND(P40&gt;G40,G40&lt;&gt;""),AND(P40&gt;H40,H40&lt;&gt;""),AND(P40&gt;I40,I40&lt;&gt;""),AND(P40&gt;J40,J40&lt;&gt;""),AND(P40&gt;K40,K40&lt;&gt;""),AND(P40&gt;L40,L40&lt;&gt;"")),"! Best value cannot be higher than values for options.The tool will not consider this indicator","")))))</f>
        <v>! Best value cannot be higher than worst value. The tool will not consider this indicator</v>
      </c>
      <c r="R40" s="307"/>
      <c r="S40" s="307"/>
      <c r="T40" s="307"/>
      <c r="U40" s="307"/>
      <c r="V40" s="307"/>
      <c r="W40" s="307"/>
      <c r="X40" s="307"/>
      <c r="Y40" s="307"/>
      <c r="Z40" s="31"/>
      <c r="AA40" s="29"/>
      <c r="AB40" s="29"/>
      <c r="AC40" s="29"/>
      <c r="AD40" s="29"/>
    </row>
    <row r="41" spans="2:30" ht="15" customHeight="1">
      <c r="B41" s="33"/>
      <c r="C41" s="293" t="str">
        <f>PTAout!C61</f>
        <v>Micromobility</v>
      </c>
      <c r="D41" s="289"/>
      <c r="E41" s="290"/>
      <c r="F41" s="369"/>
      <c r="G41" s="296"/>
      <c r="H41" s="296"/>
      <c r="I41" s="296"/>
      <c r="J41" s="296"/>
      <c r="K41" s="296"/>
      <c r="L41" s="296"/>
      <c r="M41" s="928"/>
      <c r="N41" s="758"/>
      <c r="O41" s="398"/>
      <c r="P41" s="398"/>
      <c r="Q41" s="474"/>
      <c r="R41" s="292"/>
      <c r="S41" s="292"/>
      <c r="T41" s="292"/>
      <c r="U41" s="292"/>
      <c r="V41" s="292"/>
      <c r="W41" s="292"/>
      <c r="X41" s="292"/>
      <c r="Y41" s="292"/>
      <c r="Z41" s="31"/>
      <c r="AA41" s="29"/>
      <c r="AB41" s="29"/>
      <c r="AC41" s="29"/>
      <c r="AD41" s="29"/>
    </row>
    <row r="42" spans="2:30" ht="15" customHeight="1">
      <c r="B42" s="33"/>
      <c r="C42" s="29"/>
      <c r="D42" s="47" t="str">
        <f>PTAout!D62</f>
        <v>Space</v>
      </c>
      <c r="E42" s="27"/>
      <c r="F42" s="190" t="str">
        <f>PTAout!F62</f>
        <v>Dedicated space (yes/no)</v>
      </c>
      <c r="G42" s="405" t="str">
        <f>PTAout!H62</f>
        <v/>
      </c>
      <c r="H42" s="405" t="str">
        <f>PTAout!L62</f>
        <v/>
      </c>
      <c r="I42" s="405" t="str">
        <f>PTAout!Q62</f>
        <v/>
      </c>
      <c r="J42" s="405" t="str">
        <f>PTAout!V62</f>
        <v/>
      </c>
      <c r="K42" s="405" t="str">
        <f>PTAout!AA62</f>
        <v/>
      </c>
      <c r="L42" s="404" t="str">
        <f>PTAout!AF62</f>
        <v/>
      </c>
      <c r="M42" s="45"/>
      <c r="N42" s="919" t="s">
        <v>744</v>
      </c>
      <c r="O42" s="211">
        <v>0</v>
      </c>
      <c r="P42" s="113">
        <v>4</v>
      </c>
      <c r="Q42" s="473" t="str">
        <f>IF(OR(O42="",P42=""),"! Worst and best values not specified. The tool will not consider this indicator",IF(P42&lt;O42,"! Best value cannot be lower than worst value.The tool will not consider this indicator",IF(AND(G42="",OR(O42&lt;&gt;"",P42&lt;&gt;"")),"! No current value. The tool will not consider this indicator",IF(OR(AND(O42&gt;G42,G42&lt;&gt;""),AND(O42&gt;H42,H42&lt;&gt;""),AND(O42&gt;I42,I42&lt;&gt;""),AND(O42&gt;J42,I42&lt;&gt;""),AND(O42&gt;K42,K42&lt;&gt;""),AND(O42&gt;L42,L42&lt;&gt;"")),"! Worst value cannot be higher than values for options.The tool will not consider this indicator",IF(OR(AND(P42&lt;G42,G42&lt;&gt;""),AND(P42&lt;H42,H42&lt;&gt;""),AND(P42&lt;I42,I42&lt;&gt;""),AND(P42&lt;J42,J42&lt;&gt;""),AND(P42&lt;K42,K42&lt;&gt;""),AND(P42&lt;L42,L42&lt;&gt;"")),"! Best value cannot be lower than values for options. The tool will not consider this indicator","")))))</f>
        <v>! No current value. The tool will not consider this indicator</v>
      </c>
      <c r="R42" s="170"/>
      <c r="S42" s="170"/>
      <c r="T42" s="170"/>
      <c r="U42" s="170"/>
      <c r="V42" s="170"/>
      <c r="W42" s="170"/>
      <c r="X42" s="170"/>
      <c r="Y42" s="170"/>
      <c r="Z42" s="31"/>
      <c r="AA42" s="29"/>
      <c r="AB42" s="29"/>
      <c r="AC42" s="29"/>
      <c r="AD42" s="29"/>
    </row>
    <row r="43" spans="2:30" ht="15" customHeight="1">
      <c r="B43" s="33"/>
      <c r="C43" s="29"/>
      <c r="D43" s="47" t="str">
        <f>PTAout!D63</f>
        <v>Volume</v>
      </c>
      <c r="E43" s="27"/>
      <c r="F43" s="190" t="str">
        <f>PTAout!F63</f>
        <v/>
      </c>
      <c r="G43" s="269" t="str">
        <f>PTAout!H63</f>
        <v/>
      </c>
      <c r="H43" s="269" t="str">
        <f>PTAout!L63</f>
        <v/>
      </c>
      <c r="I43" s="269" t="str">
        <f>PTAout!Q63</f>
        <v/>
      </c>
      <c r="J43" s="269" t="str">
        <f>PTAout!V63</f>
        <v/>
      </c>
      <c r="K43" s="269" t="str">
        <f>PTAout!AA63</f>
        <v/>
      </c>
      <c r="L43" s="404" t="str">
        <f>PTAout!AF63</f>
        <v/>
      </c>
      <c r="M43" s="45"/>
      <c r="N43" s="919" t="s">
        <v>744</v>
      </c>
      <c r="O43" s="113">
        <v>0</v>
      </c>
      <c r="P43" s="113">
        <v>12000</v>
      </c>
      <c r="Q43" s="473" t="str">
        <f>IF(OR(O43="",P43=""),"! Worst and best values not specified. The tool will not consider this indicator",IF(P43&lt;O43,"! Best value cannot be lower than worst value.The tool will not consider this indicator",IF(AND(G43="",OR(O43&lt;&gt;"",P43&lt;&gt;"")),"! No current value. The tool will not consider this indicator",IF(OR(AND(O43&gt;G43,G43&lt;&gt;""),AND(O43&gt;H43,H43&lt;&gt;""),AND(O43&gt;I43,I43&lt;&gt;""),AND(O43&gt;J43,I43&lt;&gt;""),AND(O43&gt;K43,K43&lt;&gt;""),AND(O43&gt;L43,L43&lt;&gt;"")),"! Worst value cannot be higher than values for options.The tool will not consider this indicator",IF(OR(AND(P43&lt;G43,G43&lt;&gt;""),AND(P43&lt;H43,H43&lt;&gt;""),AND(P43&lt;I43,I43&lt;&gt;""),AND(P43&lt;J43,J43&lt;&gt;""),AND(P43&lt;K43,K43&lt;&gt;""),AND(P43&lt;L43,L43&lt;&gt;"")),"! Best value cannot be lower than values for options. The tool will not consider this indicator","")))))</f>
        <v>! No current value. The tool will not consider this indicator</v>
      </c>
      <c r="R43" s="170"/>
      <c r="S43" s="170"/>
      <c r="T43" s="170"/>
      <c r="U43" s="170"/>
      <c r="V43" s="170"/>
      <c r="W43" s="170"/>
      <c r="X43" s="170"/>
      <c r="Y43" s="170"/>
      <c r="Z43" s="31"/>
      <c r="AA43" s="29"/>
      <c r="AB43" s="29"/>
      <c r="AC43" s="29"/>
      <c r="AD43" s="29"/>
    </row>
    <row r="44" spans="2:30" ht="15" customHeight="1">
      <c r="B44" s="33"/>
      <c r="C44" s="29"/>
      <c r="D44" s="47" t="str">
        <f>PTAout!D64</f>
        <v>Speed</v>
      </c>
      <c r="E44" s="27"/>
      <c r="F44" s="190" t="str">
        <f>PTAout!F64</f>
        <v/>
      </c>
      <c r="G44" s="399" t="str">
        <f>PTAout!H64</f>
        <v/>
      </c>
      <c r="H44" s="458" t="str">
        <f>PTAout!L64</f>
        <v/>
      </c>
      <c r="I44" s="458" t="str">
        <f>PTAout!Q64</f>
        <v/>
      </c>
      <c r="J44" s="458" t="str">
        <f>PTAout!V64</f>
        <v/>
      </c>
      <c r="K44" s="458" t="str">
        <f>PTAout!AA64</f>
        <v/>
      </c>
      <c r="L44" s="458" t="str">
        <f>PTAout!AF64</f>
        <v/>
      </c>
      <c r="M44" s="45"/>
      <c r="N44" s="919" t="s">
        <v>744</v>
      </c>
      <c r="O44" s="113">
        <v>5</v>
      </c>
      <c r="P44" s="113">
        <v>60</v>
      </c>
      <c r="Q44" s="473" t="str">
        <f>IF(OR(O44="",P44=""),"! Worst and best values not specified. The tool will not consider this indicator",IF(P44&lt;O44,"! Best value cannot be lower than worst value.The tool will not consider this indicator",IF(AND(G44="",OR(O44&lt;&gt;"",P44&lt;&gt;"")),"! No current value. The tool will not consider this indicator",IF(OR(AND(O44&gt;G44,G44&lt;&gt;""),AND(O44&gt;H44,H44&lt;&gt;""),AND(O44&gt;I44,I44&lt;&gt;""),AND(O44&gt;J44,I44&lt;&gt;""),AND(O44&gt;K44,K44&lt;&gt;""),AND(O44&gt;L44,L44&lt;&gt;"")),"! Worst value cannot be higher than values for options.The tool will not consider this indicator",IF(OR(AND(P44&lt;G44,G44&lt;&gt;""),AND(P44&lt;H44,H44&lt;&gt;""),AND(P44&lt;I44,I44&lt;&gt;""),AND(P44&lt;J44,J44&lt;&gt;""),AND(P44&lt;K44,K44&lt;&gt;""),AND(P44&lt;L44,L44&lt;&gt;"")),"! Best value cannot be lower than values for options. The tool will not consider this indicator","")))))</f>
        <v>! No current value. The tool will not consider this indicator</v>
      </c>
      <c r="R44" s="170"/>
      <c r="S44" s="170"/>
      <c r="T44" s="170"/>
      <c r="U44" s="170"/>
      <c r="V44" s="170"/>
      <c r="W44" s="170"/>
      <c r="X44" s="170"/>
      <c r="Y44" s="170"/>
      <c r="Z44" s="31"/>
      <c r="AA44" s="29"/>
      <c r="AB44" s="29"/>
      <c r="AC44" s="29"/>
      <c r="AD44" s="29"/>
    </row>
    <row r="45" spans="2:30" ht="15" customHeight="1">
      <c r="B45" s="33"/>
      <c r="C45" s="29"/>
      <c r="D45" s="47" t="str">
        <f>PTAout!D65</f>
        <v>Travel time</v>
      </c>
      <c r="E45" s="27"/>
      <c r="F45" s="190" t="str">
        <f>PTAout!F65</f>
        <v/>
      </c>
      <c r="G45" s="429" t="str">
        <f>PTAout!H65</f>
        <v/>
      </c>
      <c r="H45" s="458" t="str">
        <f>PTAout!L65</f>
        <v/>
      </c>
      <c r="I45" s="458" t="str">
        <f>PTAout!Q65</f>
        <v/>
      </c>
      <c r="J45" s="458" t="str">
        <f>PTAout!V65</f>
        <v/>
      </c>
      <c r="K45" s="458" t="str">
        <f>PTAout!AA65</f>
        <v/>
      </c>
      <c r="L45" s="458" t="str">
        <f>PTAout!AF65</f>
        <v/>
      </c>
      <c r="M45" s="45"/>
      <c r="N45" s="919" t="s">
        <v>743</v>
      </c>
      <c r="O45" s="113">
        <v>60</v>
      </c>
      <c r="P45" s="113">
        <v>1</v>
      </c>
      <c r="Q45" s="473" t="str">
        <f>IF(OR(O45="",P45=""),"! Worst and best values not specified. The tool will not consider this indicator",IF(P45&gt;O45,"! Best value cannot be higher than worst value. The tool will not consider this indicator",IF(AND(G45="",OR(O45&lt;&gt;"",P45&lt;&gt;"")),"! No current value. The tool will not consider this indicator",IF(OR(AND(O45&lt;G45,G45&lt;&gt;""),AND(O45&lt;H45,H45&lt;&gt;""),AND(O45&lt;I45,I45&lt;&gt;""),AND(O45&lt;J45,J45&lt;&gt;""),AND(O45&lt;K45,K45&lt;&gt;""),AND(O45&lt;L45,L45&lt;&gt;"")),"! Worst value cannot be lower than values for options.The tool will not consider this indicator",IF(OR(AND(P45&gt;G45,G45&lt;&gt;""),AND(P45&gt;H45,H45&lt;&gt;""),AND(P45&gt;I45,I45&lt;&gt;""),AND(P45&gt;J45,J45&lt;&gt;""),AND(P45&gt;K45,K45&lt;&gt;""),AND(P45&gt;L45,L45&lt;&gt;"")),"! Best value cannot be higher than values for options.The tool will not consider this indicator","")))))</f>
        <v>! No current value. The tool will not consider this indicator</v>
      </c>
      <c r="R45" s="170"/>
      <c r="S45" s="170"/>
      <c r="T45" s="170"/>
      <c r="U45" s="170"/>
      <c r="V45" s="170"/>
      <c r="W45" s="170"/>
      <c r="X45" s="170"/>
      <c r="Y45" s="170"/>
      <c r="Z45" s="31"/>
      <c r="AA45" s="29"/>
      <c r="AB45" s="29"/>
      <c r="AC45" s="29"/>
      <c r="AD45" s="29"/>
    </row>
    <row r="46" spans="2:30" ht="15" customHeight="1">
      <c r="B46" s="33"/>
      <c r="C46" s="29"/>
      <c r="D46" s="47" t="str">
        <f>PTAout!D66</f>
        <v>Delays</v>
      </c>
      <c r="E46" s="27"/>
      <c r="F46" s="190" t="str">
        <f>PTAout!F66</f>
        <v/>
      </c>
      <c r="G46" s="399" t="str">
        <f>PTAout!H66</f>
        <v/>
      </c>
      <c r="H46" s="458" t="str">
        <f>PTAout!L66</f>
        <v/>
      </c>
      <c r="I46" s="458" t="str">
        <f>PTAout!Q66</f>
        <v/>
      </c>
      <c r="J46" s="458" t="str">
        <f>PTAout!V66</f>
        <v/>
      </c>
      <c r="K46" s="458" t="str">
        <f>PTAout!AA66</f>
        <v/>
      </c>
      <c r="L46" s="458" t="str">
        <f>PTAout!AF66</f>
        <v/>
      </c>
      <c r="M46" s="45"/>
      <c r="N46" s="761" t="s">
        <v>743</v>
      </c>
      <c r="O46" s="113">
        <v>1.5</v>
      </c>
      <c r="P46" s="113">
        <v>0</v>
      </c>
      <c r="Q46" s="473" t="str">
        <f>IF(OR(O46="",P46=""),"! Worst and best values not specified. The tool will not consider this indicator",IF(P46&gt;O46,"! Best value cannot be higher than worst value. The tool will not consider this indicator",IF(AND(G46="",OR(O46&lt;&gt;"",P46&lt;&gt;"")),"! No current value. The tool will not consider this indicator",IF(OR(AND(O46&lt;G46,G46&lt;&gt;""),AND(O46&lt;H46,H46&lt;&gt;""),AND(O46&lt;I46,I46&lt;&gt;""),AND(O46&lt;J46,J46&lt;&gt;""),AND(O46&lt;K46,K46&lt;&gt;""),AND(O46&lt;L46,L46&lt;&gt;"")),"! Worst value cannot be lower than values for options.The tool will not consider this indicator",IF(OR(AND(P46&gt;G46,G46&lt;&gt;""),AND(P46&gt;H46,H46&lt;&gt;""),AND(P46&gt;I46,I46&lt;&gt;""),AND(P46&gt;J46,J46&lt;&gt;""),AND(P46&gt;K46,K46&lt;&gt;""),AND(P46&gt;L46,L46&lt;&gt;"")),"! Best value cannot be higher than values for options.The tool will not consider this indicator","")))))</f>
        <v>! No current value. The tool will not consider this indicator</v>
      </c>
      <c r="R46" s="170"/>
      <c r="S46" s="170"/>
      <c r="T46" s="170"/>
      <c r="U46" s="170"/>
      <c r="V46" s="170"/>
      <c r="W46" s="170"/>
      <c r="X46" s="170"/>
      <c r="Y46" s="170"/>
      <c r="Z46" s="31"/>
      <c r="AA46" s="29"/>
      <c r="AB46" s="29"/>
      <c r="AC46" s="29"/>
      <c r="AD46" s="29"/>
    </row>
    <row r="47" spans="2:30" ht="15" customHeight="1">
      <c r="B47" s="33"/>
      <c r="C47" s="29"/>
      <c r="D47" s="47" t="str">
        <f>PTAout!D67</f>
        <v>Reliability</v>
      </c>
      <c r="E47" s="27"/>
      <c r="F47" s="190" t="str">
        <f>PTAout!F67</f>
        <v/>
      </c>
      <c r="G47" s="399" t="str">
        <f>PTAout!H67</f>
        <v/>
      </c>
      <c r="H47" s="458" t="str">
        <f>PTAout!L67</f>
        <v/>
      </c>
      <c r="I47" s="458" t="str">
        <f>PTAout!Q67</f>
        <v/>
      </c>
      <c r="J47" s="458" t="str">
        <f>PTAout!V67</f>
        <v/>
      </c>
      <c r="K47" s="458" t="str">
        <f>PTAout!AA67</f>
        <v/>
      </c>
      <c r="L47" s="458" t="str">
        <f>PTAout!AF67</f>
        <v/>
      </c>
      <c r="M47" s="45"/>
      <c r="N47" s="761" t="s">
        <v>743</v>
      </c>
      <c r="O47" s="453"/>
      <c r="P47" s="453"/>
      <c r="Q47" s="473" t="str">
        <f>IF(OR(O47="",P47=""),"! Worst and best values not specified. The tool will not consider this indicator",IF(P47&gt;O47,"! Best value cannot be higher than worst value. The tool will not consider this indicator",IF(AND(G47="",OR(O47&lt;&gt;"",P47&lt;&gt;"")),"! No current value. The tool will not consider this indicator",IF(OR(AND(O47&lt;G47,G47&lt;&gt;""),AND(O47&lt;H47,H47&lt;&gt;""),AND(O47&lt;I47,I47&lt;&gt;""),AND(O47&lt;J47,J47&lt;&gt;""),AND(O47&lt;K47,K47&lt;&gt;""),AND(O47&lt;L47,L47&lt;&gt;"")),"! Worst value cannot be lower than values for options.The tool will not consider this indicator",IF(OR(AND(P47&gt;G47,G47&lt;&gt;""),AND(P47&gt;H47,H47&lt;&gt;""),AND(P47&gt;I47,I47&lt;&gt;""),AND(P47&gt;J47,J47&lt;&gt;""),AND(P47&gt;K47,K47&lt;&gt;""),AND(P47&gt;L47,L47&lt;&gt;"")),"! Best value cannot be higher than values for options.The tool will not consider this indicator","")))))</f>
        <v>! Worst and best values not specified. The tool will not consider this indicator</v>
      </c>
      <c r="R47" s="170"/>
      <c r="S47" s="170"/>
      <c r="T47" s="170"/>
      <c r="U47" s="170"/>
      <c r="V47" s="170"/>
      <c r="W47" s="170"/>
      <c r="X47" s="170"/>
      <c r="Y47" s="170"/>
      <c r="Z47" s="31"/>
      <c r="AA47" s="29"/>
      <c r="AB47" s="29"/>
      <c r="AC47" s="29"/>
      <c r="AD47" s="29"/>
    </row>
    <row r="48" spans="2:30" ht="15" customHeight="1">
      <c r="B48" s="33"/>
      <c r="C48" s="59"/>
      <c r="D48" s="85" t="str">
        <f>PTAout!D68</f>
        <v>Trip quality</v>
      </c>
      <c r="E48" s="60"/>
      <c r="F48" s="294" t="str">
        <f>PTAout!F68</f>
        <v/>
      </c>
      <c r="G48" s="302" t="str">
        <f>PTAout!H68</f>
        <v/>
      </c>
      <c r="H48" s="302" t="str">
        <f>PTAout!L68</f>
        <v/>
      </c>
      <c r="I48" s="302" t="str">
        <f>PTAout!Q68</f>
        <v/>
      </c>
      <c r="J48" s="302" t="str">
        <f>PTAout!V68</f>
        <v/>
      </c>
      <c r="K48" s="302" t="str">
        <f>PTAout!AA68</f>
        <v/>
      </c>
      <c r="L48" s="302" t="str">
        <f>PTAout!AF68</f>
        <v/>
      </c>
      <c r="M48" s="45"/>
      <c r="N48" s="762" t="s">
        <v>743</v>
      </c>
      <c r="O48" s="454">
        <v>0</v>
      </c>
      <c r="P48" s="454">
        <v>100</v>
      </c>
      <c r="Q48" s="473" t="str">
        <f>IF(OR(O48="",P48=""),"! Worst and best values not specified. The tool will not consider this indicator",IF(P48&gt;O48,"! Best value cannot be higher than worst value. The tool will not consider this indicator",IF(AND(G48="",OR(O48&lt;&gt;"",P48&lt;&gt;"")),"! No current value. The tool will not consider this indicator",IF(OR(AND(O48&lt;G48,G48&lt;&gt;""),AND(O48&lt;H48,H48&lt;&gt;""),AND(O48&lt;I48,I48&lt;&gt;""),AND(O48&lt;J48,J48&lt;&gt;""),AND(O48&lt;K48,K48&lt;&gt;""),AND(O48&lt;L48,L48&lt;&gt;"")),"! Worst value cannot be lower than values for options.The tool will not consider this indicator",IF(OR(AND(P48&gt;G48,G48&lt;&gt;""),AND(P48&gt;H48,H48&lt;&gt;""),AND(P48&gt;I48,I48&lt;&gt;""),AND(P48&gt;J48,J48&lt;&gt;""),AND(P48&gt;K48,K48&lt;&gt;""),AND(P48&gt;L48,L48&lt;&gt;"")),"! Best value cannot be higher than values for options.The tool will not consider this indicator","")))))</f>
        <v>! Best value cannot be higher than worst value. The tool will not consider this indicator</v>
      </c>
      <c r="R48" s="307"/>
      <c r="S48" s="307"/>
      <c r="T48" s="307"/>
      <c r="U48" s="307"/>
      <c r="V48" s="307"/>
      <c r="W48" s="307"/>
      <c r="X48" s="307"/>
      <c r="Y48" s="307"/>
      <c r="Z48" s="31"/>
      <c r="AA48" s="29"/>
      <c r="AB48" s="29"/>
      <c r="AC48" s="29"/>
      <c r="AD48" s="29"/>
    </row>
    <row r="49" spans="2:30" ht="15" customHeight="1">
      <c r="B49" s="33"/>
      <c r="C49" s="293" t="str">
        <f>PTAout!C69</f>
        <v>Buses</v>
      </c>
      <c r="D49" s="289"/>
      <c r="E49" s="290"/>
      <c r="F49" s="369"/>
      <c r="G49" s="296"/>
      <c r="H49" s="296"/>
      <c r="I49" s="296"/>
      <c r="J49" s="296"/>
      <c r="K49" s="296"/>
      <c r="L49" s="296"/>
      <c r="M49" s="928"/>
      <c r="N49" s="758"/>
      <c r="O49" s="398"/>
      <c r="P49" s="398"/>
      <c r="Q49" s="474"/>
      <c r="R49" s="292"/>
      <c r="S49" s="292"/>
      <c r="T49" s="292"/>
      <c r="U49" s="292"/>
      <c r="V49" s="292"/>
      <c r="W49" s="292"/>
      <c r="X49" s="292"/>
      <c r="Y49" s="292"/>
      <c r="Z49" s="31"/>
      <c r="AA49" s="29"/>
      <c r="AB49" s="29"/>
      <c r="AC49" s="29"/>
      <c r="AD49" s="29"/>
    </row>
    <row r="50" spans="2:30" ht="15" customHeight="1">
      <c r="B50" s="33"/>
      <c r="C50" s="29"/>
      <c r="D50" s="47" t="str">
        <f>PTAout!D70</f>
        <v>Space</v>
      </c>
      <c r="E50" s="27"/>
      <c r="F50" s="190" t="str">
        <f>PTAout!F70</f>
        <v>Width available (dedicated space)</v>
      </c>
      <c r="G50" s="405" t="str">
        <f>PTAout!H70</f>
        <v/>
      </c>
      <c r="H50" s="405" t="str">
        <f>PTAout!L70</f>
        <v/>
      </c>
      <c r="I50" s="405" t="str">
        <f>PTAout!Q70</f>
        <v/>
      </c>
      <c r="J50" s="405" t="str">
        <f>PTAout!V70</f>
        <v/>
      </c>
      <c r="K50" s="405" t="str">
        <f>PTAout!AA70</f>
        <v/>
      </c>
      <c r="L50" s="404" t="str">
        <f>PTAout!AF70</f>
        <v/>
      </c>
      <c r="M50" s="45"/>
      <c r="N50" s="919" t="s">
        <v>744</v>
      </c>
      <c r="O50" s="211">
        <v>0</v>
      </c>
      <c r="P50" s="113">
        <v>4</v>
      </c>
      <c r="Q50" s="473" t="str">
        <f>IF(OR(O50="",P50=""),"! Worst and best values not specified. The tool will not consider this indicator",IF(P50&lt;O50,"! Best value cannot be lower than worst value.The tool will not consider this indicator",IF(AND(G50="",OR(O50&lt;&gt;"",P50&lt;&gt;"")),"! No current value. The tool will not consider this indicator",IF(OR(AND(O50&gt;G50,G50&lt;&gt;""),AND(O50&gt;H50,H50&lt;&gt;""),AND(O50&gt;I50,I50&lt;&gt;""),AND(O50&gt;J50,I50&lt;&gt;""),AND(O50&gt;K50,K50&lt;&gt;""),AND(O50&gt;L50,L50&lt;&gt;"")),"! Worst value cannot be higher than values for options.The tool will not consider this indicator",IF(OR(AND(P50&lt;G50,G50&lt;&gt;""),AND(P50&lt;H50,H50&lt;&gt;""),AND(P50&lt;I50,I50&lt;&gt;""),AND(P50&lt;J50,J50&lt;&gt;""),AND(P50&lt;K50,K50&lt;&gt;""),AND(P50&lt;L50,L50&lt;&gt;"")),"! Best value cannot be lower than values for options. The tool will not consider this indicator","")))))</f>
        <v>! No current value. The tool will not consider this indicator</v>
      </c>
      <c r="R50" s="170"/>
      <c r="S50" s="170"/>
      <c r="T50" s="170"/>
      <c r="U50" s="170"/>
      <c r="V50" s="170"/>
      <c r="W50" s="170"/>
      <c r="X50" s="170"/>
      <c r="Y50" s="170"/>
      <c r="Z50" s="31"/>
      <c r="AA50" s="29"/>
      <c r="AB50" s="29"/>
      <c r="AC50" s="29"/>
      <c r="AD50" s="29"/>
    </row>
    <row r="51" spans="2:30" ht="15" customHeight="1">
      <c r="B51" s="33"/>
      <c r="C51" s="29"/>
      <c r="D51" s="47" t="str">
        <f>PTAout!D71</f>
        <v>Volume</v>
      </c>
      <c r="E51" s="27"/>
      <c r="F51" s="190" t="str">
        <f>PTAout!F71</f>
        <v/>
      </c>
      <c r="G51" s="269" t="str">
        <f>PTAout!H71</f>
        <v/>
      </c>
      <c r="H51" s="269" t="str">
        <f>PTAout!L71</f>
        <v/>
      </c>
      <c r="I51" s="269" t="str">
        <f>PTAout!Q71</f>
        <v/>
      </c>
      <c r="J51" s="269" t="str">
        <f>PTAout!V71</f>
        <v/>
      </c>
      <c r="K51" s="269" t="str">
        <f>PTAout!AA71</f>
        <v/>
      </c>
      <c r="L51" s="404" t="str">
        <f>PTAout!AF71</f>
        <v/>
      </c>
      <c r="M51" s="45"/>
      <c r="N51" s="919" t="s">
        <v>744</v>
      </c>
      <c r="O51" s="113">
        <v>0</v>
      </c>
      <c r="P51" s="113">
        <v>12000</v>
      </c>
      <c r="Q51" s="473" t="str">
        <f>IF(OR(O51="",P51=""),"! Worst and best values not specified. The tool will not consider this indicator",IF(P51&lt;O51,"! Best value cannot be lower than worst value.The tool will not consider this indicator",IF(AND(G51="",OR(O51&lt;&gt;"",P51&lt;&gt;"")),"! No current value. The tool will not consider this indicator",IF(OR(AND(O51&gt;G51,G51&lt;&gt;""),AND(O51&gt;H51,H51&lt;&gt;""),AND(O51&gt;I51,I51&lt;&gt;""),AND(O51&gt;J51,I51&lt;&gt;""),AND(O51&gt;K51,K51&lt;&gt;""),AND(O51&gt;L51,L51&lt;&gt;"")),"! Worst value cannot be higher than values for options.The tool will not consider this indicator",IF(OR(AND(P51&lt;G51,G51&lt;&gt;""),AND(P51&lt;H51,H51&lt;&gt;""),AND(P51&lt;I51,I51&lt;&gt;""),AND(P51&lt;J51,J51&lt;&gt;""),AND(P51&lt;K51,K51&lt;&gt;""),AND(P51&lt;L51,L51&lt;&gt;"")),"! Best value cannot be lower than values for options. The tool will not consider this indicator","")))))</f>
        <v>! No current value. The tool will not consider this indicator</v>
      </c>
      <c r="R51" s="170"/>
      <c r="S51" s="170"/>
      <c r="T51" s="170"/>
      <c r="U51" s="170"/>
      <c r="V51" s="170"/>
      <c r="W51" s="170"/>
      <c r="X51" s="170"/>
      <c r="Y51" s="170"/>
      <c r="Z51" s="31"/>
      <c r="AA51" s="29"/>
      <c r="AB51" s="29"/>
      <c r="AC51" s="29"/>
      <c r="AD51" s="29"/>
    </row>
    <row r="52" spans="2:30" ht="15" customHeight="1">
      <c r="B52" s="33"/>
      <c r="C52" s="29"/>
      <c r="D52" s="47" t="str">
        <f>PTAout!D72</f>
        <v>Speed</v>
      </c>
      <c r="E52" s="27"/>
      <c r="F52" s="190" t="str">
        <f>PTAout!F72</f>
        <v/>
      </c>
      <c r="G52" s="399" t="str">
        <f>PTAout!H72</f>
        <v/>
      </c>
      <c r="H52" s="458" t="str">
        <f>PTAout!L72</f>
        <v/>
      </c>
      <c r="I52" s="458" t="str">
        <f>PTAout!Q72</f>
        <v/>
      </c>
      <c r="J52" s="458" t="str">
        <f>PTAout!V72</f>
        <v/>
      </c>
      <c r="K52" s="458" t="str">
        <f>PTAout!AA72</f>
        <v/>
      </c>
      <c r="L52" s="458" t="str">
        <f>PTAout!AF72</f>
        <v/>
      </c>
      <c r="M52" s="45"/>
      <c r="N52" s="919" t="s">
        <v>744</v>
      </c>
      <c r="O52" s="113">
        <v>5</v>
      </c>
      <c r="P52" s="113">
        <v>60</v>
      </c>
      <c r="Q52" s="473" t="str">
        <f>IF(OR(O52="",P52=""),"! Worst and best values not specified. The tool will not consider this indicator",IF(P52&lt;O52,"! Best value cannot be lower than worst value.The tool will not consider this indicator",IF(AND(G52="",OR(O52&lt;&gt;"",P52&lt;&gt;"")),"! No current value. The tool will not consider this indicator",IF(OR(AND(O52&gt;G52,G52&lt;&gt;""),AND(O52&gt;H52,H52&lt;&gt;""),AND(O52&gt;I52,I52&lt;&gt;""),AND(O52&gt;J52,I52&lt;&gt;""),AND(O52&gt;K52,K52&lt;&gt;""),AND(O52&gt;L52,L52&lt;&gt;"")),"! Worst value cannot be higher than values for options.The tool will not consider this indicator",IF(OR(AND(P52&lt;G52,G52&lt;&gt;""),AND(P52&lt;H52,H52&lt;&gt;""),AND(P52&lt;I52,I52&lt;&gt;""),AND(P52&lt;J52,J52&lt;&gt;""),AND(P52&lt;K52,K52&lt;&gt;""),AND(P52&lt;L52,L52&lt;&gt;"")),"! Best value cannot be lower than values for options. The tool will not consider this indicator","")))))</f>
        <v>! No current value. The tool will not consider this indicator</v>
      </c>
      <c r="R52" s="170"/>
      <c r="S52" s="170"/>
      <c r="T52" s="170"/>
      <c r="U52" s="170"/>
      <c r="V52" s="170"/>
      <c r="W52" s="170"/>
      <c r="X52" s="170"/>
      <c r="Y52" s="170"/>
      <c r="Z52" s="31"/>
      <c r="AA52" s="29"/>
      <c r="AB52" s="29"/>
      <c r="AC52" s="29"/>
      <c r="AD52" s="29"/>
    </row>
    <row r="53" spans="2:30" ht="15" customHeight="1">
      <c r="B53" s="33"/>
      <c r="C53" s="29"/>
      <c r="D53" s="47"/>
      <c r="E53" s="27"/>
      <c r="F53" s="190"/>
      <c r="G53" s="429"/>
      <c r="H53" s="458" t="str">
        <f>PTAout!L73</f>
        <v/>
      </c>
      <c r="I53" s="458" t="str">
        <f>PTAout!Q73</f>
        <v/>
      </c>
      <c r="J53" s="458" t="str">
        <f>PTAout!V73</f>
        <v/>
      </c>
      <c r="K53" s="458" t="str">
        <f>PTAout!AA73</f>
        <v/>
      </c>
      <c r="L53" s="458" t="str">
        <f>PTAout!AF73</f>
        <v/>
      </c>
      <c r="M53" s="45"/>
      <c r="N53" s="919" t="s">
        <v>743</v>
      </c>
      <c r="O53" s="113">
        <v>60</v>
      </c>
      <c r="P53" s="113">
        <v>1</v>
      </c>
      <c r="Q53" s="473" t="str">
        <f>IF(OR(O53="",P53=""),"! Worst and best values not specified. The tool will not consider this indicator",IF(P53&gt;O53,"! Best value cannot be higher than worst value. The tool will not consider this indicator",IF(AND(G53="",OR(O53&lt;&gt;"",P53&lt;&gt;"")),"! No current value. The tool will not consider this indicator",IF(OR(AND(O53&lt;G53,G53&lt;&gt;""),AND(O53&lt;H53,H53&lt;&gt;""),AND(O53&lt;I53,I53&lt;&gt;""),AND(O53&lt;J53,J53&lt;&gt;""),AND(O53&lt;K53,K53&lt;&gt;""),AND(O53&lt;L53,L53&lt;&gt;"")),"! Worst value cannot be lower than values for options.The tool will not consider this indicator",IF(OR(AND(P53&gt;G53,G53&lt;&gt;""),AND(P53&gt;H53,H53&lt;&gt;""),AND(P53&gt;I53,I53&lt;&gt;""),AND(P53&gt;J53,J53&lt;&gt;""),AND(P53&gt;K53,K53&lt;&gt;""),AND(P53&gt;L53,L53&lt;&gt;"")),"! Best value cannot be higher than values for options.The tool will not consider this indicator","")))))</f>
        <v>! No current value. The tool will not consider this indicator</v>
      </c>
      <c r="R53" s="170"/>
      <c r="S53" s="170"/>
      <c r="T53" s="170"/>
      <c r="U53" s="170"/>
      <c r="V53" s="170"/>
      <c r="W53" s="170"/>
      <c r="X53" s="170"/>
      <c r="Y53" s="170"/>
      <c r="Z53" s="31"/>
      <c r="AA53" s="29"/>
      <c r="AB53" s="29"/>
      <c r="AC53" s="29"/>
      <c r="AD53" s="29"/>
    </row>
    <row r="54" spans="2:30" ht="15" customHeight="1">
      <c r="B54" s="33"/>
      <c r="C54" s="29"/>
      <c r="D54" s="47" t="str">
        <f>PTAout!D74</f>
        <v>Delays</v>
      </c>
      <c r="E54" s="27"/>
      <c r="F54" s="190" t="str">
        <f>PTAout!F74</f>
        <v/>
      </c>
      <c r="G54" s="399" t="str">
        <f>PTAout!H74</f>
        <v/>
      </c>
      <c r="H54" s="458" t="str">
        <f>PTAout!L74</f>
        <v/>
      </c>
      <c r="I54" s="458" t="str">
        <f>PTAout!Q74</f>
        <v/>
      </c>
      <c r="J54" s="458" t="str">
        <f>PTAout!V74</f>
        <v/>
      </c>
      <c r="K54" s="458" t="str">
        <f>PTAout!AA74</f>
        <v/>
      </c>
      <c r="L54" s="458" t="str">
        <f>PTAout!AF74</f>
        <v/>
      </c>
      <c r="M54" s="45"/>
      <c r="N54" s="761" t="s">
        <v>743</v>
      </c>
      <c r="O54" s="113">
        <v>1.5</v>
      </c>
      <c r="P54" s="113">
        <v>0</v>
      </c>
      <c r="Q54" s="473" t="str">
        <f>IF(OR(O54="",P54=""),"! Worst and best values not specified. The tool will not consider this indicator",IF(P54&gt;O54,"! Best value cannot be higher than worst value. The tool will not consider this indicator",IF(AND(G54="",OR(O54&lt;&gt;"",P54&lt;&gt;"")),"! No current value. The tool will not consider this indicator",IF(OR(AND(O54&lt;G54,G54&lt;&gt;""),AND(O54&lt;H54,H54&lt;&gt;""),AND(O54&lt;I54,I54&lt;&gt;""),AND(O54&lt;J54,J54&lt;&gt;""),AND(O54&lt;K54,K54&lt;&gt;""),AND(O54&lt;L54,L54&lt;&gt;"")),"! Worst value cannot be lower than values for options.The tool will not consider this indicator",IF(OR(AND(P54&gt;G54,G54&lt;&gt;""),AND(P54&gt;H54,H54&lt;&gt;""),AND(P54&gt;I54,I54&lt;&gt;""),AND(P54&gt;J54,J54&lt;&gt;""),AND(P54&gt;K54,K54&lt;&gt;""),AND(P54&gt;L54,L54&lt;&gt;"")),"! Best value cannot be higher than values for options.The tool will not consider this indicator","")))))</f>
        <v>! No current value. The tool will not consider this indicator</v>
      </c>
      <c r="R54" s="170"/>
      <c r="S54" s="170"/>
      <c r="T54" s="170"/>
      <c r="U54" s="170"/>
      <c r="V54" s="170"/>
      <c r="W54" s="170"/>
      <c r="X54" s="170"/>
      <c r="Y54" s="170"/>
      <c r="Z54" s="31"/>
      <c r="AA54" s="29"/>
      <c r="AB54" s="29"/>
      <c r="AC54" s="29"/>
      <c r="AD54" s="29"/>
    </row>
    <row r="55" spans="2:30" ht="15" customHeight="1">
      <c r="B55" s="33"/>
      <c r="C55" s="29"/>
      <c r="D55" s="47" t="str">
        <f>PTAout!D75</f>
        <v>Reliability</v>
      </c>
      <c r="E55" s="27"/>
      <c r="F55" s="190" t="str">
        <f>PTAout!F75</f>
        <v/>
      </c>
      <c r="G55" s="399" t="str">
        <f>PTAout!H75</f>
        <v/>
      </c>
      <c r="H55" s="458" t="str">
        <f>PTAout!L75</f>
        <v/>
      </c>
      <c r="I55" s="458" t="str">
        <f>PTAout!Q75</f>
        <v/>
      </c>
      <c r="J55" s="458" t="str">
        <f>PTAout!V75</f>
        <v/>
      </c>
      <c r="K55" s="458" t="str">
        <f>PTAout!AA75</f>
        <v/>
      </c>
      <c r="L55" s="458" t="str">
        <f>PTAout!AF75</f>
        <v/>
      </c>
      <c r="M55" s="45"/>
      <c r="N55" s="761" t="s">
        <v>743</v>
      </c>
      <c r="O55" s="453"/>
      <c r="P55" s="453"/>
      <c r="Q55" s="473" t="str">
        <f>IF(OR(O55="",P55=""),"! Worst and best values not specified. The tool will not consider this indicator",IF(P55&gt;O55,"! Best value cannot be higher than worst value. The tool will not consider this indicator",IF(AND(G55="",OR(O55&lt;&gt;"",P55&lt;&gt;"")),"! No current value. The tool will not consider this indicator",IF(OR(AND(O55&lt;G55,G55&lt;&gt;""),AND(O55&lt;H55,H55&lt;&gt;""),AND(O55&lt;I55,I55&lt;&gt;""),AND(O55&lt;J55,J55&lt;&gt;""),AND(O55&lt;K55,K55&lt;&gt;""),AND(O55&lt;L55,L55&lt;&gt;"")),"! Worst value cannot be lower than values for options.The tool will not consider this indicator",IF(OR(AND(P55&gt;G55,G55&lt;&gt;""),AND(P55&gt;H55,H55&lt;&gt;""),AND(P55&gt;I55,I55&lt;&gt;""),AND(P55&gt;J55,J55&lt;&gt;""),AND(P55&gt;K55,K55&lt;&gt;""),AND(P55&gt;L55,L55&lt;&gt;"")),"! Best value cannot be higher than values for options.The tool will not consider this indicator","")))))</f>
        <v>! Worst and best values not specified. The tool will not consider this indicator</v>
      </c>
      <c r="R55" s="170"/>
      <c r="S55" s="170"/>
      <c r="T55" s="170"/>
      <c r="U55" s="170"/>
      <c r="V55" s="170"/>
      <c r="W55" s="170"/>
      <c r="X55" s="170"/>
      <c r="Y55" s="170"/>
      <c r="Z55" s="31"/>
      <c r="AA55" s="29"/>
      <c r="AB55" s="29"/>
      <c r="AC55" s="29"/>
      <c r="AD55" s="29"/>
    </row>
    <row r="56" spans="2:30" ht="15" customHeight="1">
      <c r="B56" s="33"/>
      <c r="C56" s="59"/>
      <c r="D56" s="85" t="str">
        <f>PTAout!D76</f>
        <v>Trip quality</v>
      </c>
      <c r="E56" s="60"/>
      <c r="F56" s="294" t="str">
        <f>PTAout!F76</f>
        <v/>
      </c>
      <c r="G56" s="302" t="str">
        <f>PTAout!H76</f>
        <v/>
      </c>
      <c r="H56" s="302" t="str">
        <f>PTAout!L76</f>
        <v/>
      </c>
      <c r="I56" s="302" t="str">
        <f>PTAout!Q76</f>
        <v/>
      </c>
      <c r="J56" s="302" t="str">
        <f>PTAout!V76</f>
        <v/>
      </c>
      <c r="K56" s="302" t="str">
        <f>PTAout!AA76</f>
        <v/>
      </c>
      <c r="L56" s="302" t="str">
        <f>PTAout!AF76</f>
        <v/>
      </c>
      <c r="M56" s="45"/>
      <c r="N56" s="762" t="s">
        <v>743</v>
      </c>
      <c r="O56" s="454">
        <v>0</v>
      </c>
      <c r="P56" s="454">
        <v>100</v>
      </c>
      <c r="Q56" s="473" t="str">
        <f>IF(OR(O56="",P56=""),"! Worst and best values not specified. The tool will not consider this indicator",IF(P56&gt;O56,"! Best value cannot be higher than worst value. The tool will not consider this indicator",IF(AND(G56="",OR(O56&lt;&gt;"",P56&lt;&gt;"")),"! No current value. The tool will not consider this indicator",IF(OR(AND(O56&lt;G56,G56&lt;&gt;""),AND(O56&lt;H56,H56&lt;&gt;""),AND(O56&lt;I56,I56&lt;&gt;""),AND(O56&lt;J56,J56&lt;&gt;""),AND(O56&lt;K56,K56&lt;&gt;""),AND(O56&lt;L56,L56&lt;&gt;"")),"! Worst value cannot be lower than values for options.The tool will not consider this indicator",IF(OR(AND(P56&gt;G56,G56&lt;&gt;""),AND(P56&gt;H56,H56&lt;&gt;""),AND(P56&gt;I56,I56&lt;&gt;""),AND(P56&gt;J56,J56&lt;&gt;""),AND(P56&gt;K56,K56&lt;&gt;""),AND(P56&gt;L56,L56&lt;&gt;"")),"! Best value cannot be higher than values for options.The tool will not consider this indicator","")))))</f>
        <v>! Best value cannot be higher than worst value. The tool will not consider this indicator</v>
      </c>
      <c r="R56" s="307"/>
      <c r="S56" s="307"/>
      <c r="T56" s="307"/>
      <c r="U56" s="307"/>
      <c r="V56" s="307"/>
      <c r="W56" s="307"/>
      <c r="X56" s="307"/>
      <c r="Y56" s="307"/>
      <c r="Z56" s="31"/>
      <c r="AA56" s="29"/>
      <c r="AB56" s="29"/>
      <c r="AC56" s="29"/>
      <c r="AD56" s="29"/>
    </row>
    <row r="57" spans="2:30" ht="15" customHeight="1">
      <c r="B57" s="33"/>
      <c r="C57" s="293" t="str">
        <f>PTAout!C77</f>
        <v>Cars/taxis</v>
      </c>
      <c r="D57" s="289"/>
      <c r="E57" s="290"/>
      <c r="F57" s="369"/>
      <c r="G57" s="296"/>
      <c r="H57" s="296"/>
      <c r="I57" s="296"/>
      <c r="J57" s="296"/>
      <c r="K57" s="296"/>
      <c r="L57" s="296"/>
      <c r="M57" s="928"/>
      <c r="N57" s="758"/>
      <c r="O57" s="398"/>
      <c r="P57" s="398"/>
      <c r="Q57" s="474"/>
      <c r="R57" s="292"/>
      <c r="S57" s="292"/>
      <c r="T57" s="292"/>
      <c r="U57" s="292"/>
      <c r="V57" s="292"/>
      <c r="W57" s="292"/>
      <c r="X57" s="292"/>
      <c r="Y57" s="292"/>
      <c r="Z57" s="31"/>
      <c r="AA57" s="29"/>
      <c r="AB57" s="29"/>
      <c r="AC57" s="29"/>
      <c r="AD57" s="29"/>
    </row>
    <row r="58" spans="2:30" ht="15" customHeight="1">
      <c r="B58" s="33"/>
      <c r="C58" s="29"/>
      <c r="D58" s="47" t="str">
        <f>PTAout!D78</f>
        <v>Space</v>
      </c>
      <c r="E58" s="27"/>
      <c r="F58" s="190" t="str">
        <f>PTAout!F78</f>
        <v>Width available</v>
      </c>
      <c r="G58" s="405" t="str">
        <f>PTAout!H78</f>
        <v/>
      </c>
      <c r="H58" s="405" t="str">
        <f>PTAout!L78</f>
        <v/>
      </c>
      <c r="I58" s="405" t="str">
        <f>PTAout!Q78</f>
        <v/>
      </c>
      <c r="J58" s="405" t="str">
        <f>PTAout!V78</f>
        <v/>
      </c>
      <c r="K58" s="405" t="str">
        <f>PTAout!AA78</f>
        <v/>
      </c>
      <c r="L58" s="404" t="str">
        <f>PTAout!AF78</f>
        <v/>
      </c>
      <c r="M58" s="45"/>
      <c r="N58" s="919" t="s">
        <v>744</v>
      </c>
      <c r="O58" s="211">
        <v>0</v>
      </c>
      <c r="P58" s="113">
        <v>20</v>
      </c>
      <c r="Q58" s="473" t="str">
        <f>IF(OR(O58="",P58=""),"! Worst and best values not specified. The tool will not consider this indicator",IF(P58&lt;O58,"! Best value cannot be lower than worst value.The tool will not consider this indicator",IF(AND(G58="",OR(O58&lt;&gt;"",P58&lt;&gt;"")),"! No current value. The tool will not consider this indicator",IF(OR(AND(O58&gt;G58,G58&lt;&gt;""),AND(O58&gt;H58,H58&lt;&gt;""),AND(O58&gt;I58,I58&lt;&gt;""),AND(O58&gt;J58,I58&lt;&gt;""),AND(O58&gt;K58,K58&lt;&gt;""),AND(O58&gt;L58,L58&lt;&gt;"")),"! Worst value cannot be higher than values for options.The tool will not consider this indicator",IF(OR(AND(P58&lt;G58,G58&lt;&gt;""),AND(P58&lt;H58,H58&lt;&gt;""),AND(P58&lt;I58,I58&lt;&gt;""),AND(P58&lt;J58,J58&lt;&gt;""),AND(P58&lt;K58,K58&lt;&gt;""),AND(P58&lt;L58,L58&lt;&gt;"")),"! Best value cannot be lower than values for options. The tool will not consider this indicator","")))))</f>
        <v>! No current value. The tool will not consider this indicator</v>
      </c>
      <c r="R58" s="170"/>
      <c r="S58" s="170"/>
      <c r="T58" s="170"/>
      <c r="U58" s="170"/>
      <c r="V58" s="170"/>
      <c r="W58" s="170"/>
      <c r="X58" s="170"/>
      <c r="Y58" s="170"/>
      <c r="Z58" s="31"/>
      <c r="AA58" s="29"/>
      <c r="AB58" s="29"/>
      <c r="AC58" s="29"/>
      <c r="AD58" s="29"/>
    </row>
    <row r="59" spans="2:30" ht="15" customHeight="1">
      <c r="B59" s="33"/>
      <c r="C59" s="29"/>
      <c r="D59" s="47" t="str">
        <f>PTAout!D79</f>
        <v>Volume</v>
      </c>
      <c r="E59" s="27"/>
      <c r="F59" s="190" t="str">
        <f>PTAout!F79</f>
        <v/>
      </c>
      <c r="G59" s="269" t="str">
        <f>PTAout!H79</f>
        <v/>
      </c>
      <c r="H59" s="269" t="str">
        <f>PTAout!L79</f>
        <v/>
      </c>
      <c r="I59" s="269" t="str">
        <f>PTAout!Q79</f>
        <v/>
      </c>
      <c r="J59" s="269" t="str">
        <f>PTAout!V79</f>
        <v/>
      </c>
      <c r="K59" s="269" t="str">
        <f>PTAout!AA79</f>
        <v/>
      </c>
      <c r="L59" s="404" t="str">
        <f>PTAout!AF79</f>
        <v/>
      </c>
      <c r="M59" s="45"/>
      <c r="N59" s="919" t="s">
        <v>744</v>
      </c>
      <c r="O59" s="113">
        <v>0</v>
      </c>
      <c r="P59" s="113">
        <v>100000</v>
      </c>
      <c r="Q59" s="473" t="str">
        <f>IF(OR(O59="",P59=""),"! Worst and best values not specified. The tool will not consider this indicator",IF(P59&lt;O59,"! Best value cannot be lower than worst value.The tool will not consider this indicator",IF(AND(G59="",OR(O59&lt;&gt;"",P59&lt;&gt;"")),"! No current value. The tool will not consider this indicator",IF(OR(AND(O59&gt;G59,G59&lt;&gt;""),AND(O59&gt;H59,H59&lt;&gt;""),AND(O59&gt;I59,I59&lt;&gt;""),AND(O59&gt;J59,I59&lt;&gt;""),AND(O59&gt;K59,K59&lt;&gt;""),AND(O59&gt;L59,L59&lt;&gt;"")),"! Worst value cannot be higher than values for options.The tool will not consider this indicator",IF(OR(AND(P59&lt;G59,G59&lt;&gt;""),AND(P59&lt;H59,H59&lt;&gt;""),AND(P59&lt;I59,I59&lt;&gt;""),AND(P59&lt;J59,J59&lt;&gt;""),AND(P59&lt;K59,K59&lt;&gt;""),AND(P59&lt;L59,L59&lt;&gt;"")),"! Best value cannot be lower than values for options. The tool will not consider this indicator","")))))</f>
        <v>! No current value. The tool will not consider this indicator</v>
      </c>
      <c r="R59" s="170"/>
      <c r="S59" s="170"/>
      <c r="T59" s="170"/>
      <c r="U59" s="170"/>
      <c r="V59" s="170"/>
      <c r="W59" s="170"/>
      <c r="X59" s="170"/>
      <c r="Y59" s="170"/>
      <c r="Z59" s="31"/>
      <c r="AA59" s="29"/>
      <c r="AB59" s="29"/>
      <c r="AC59" s="29"/>
      <c r="AD59" s="29"/>
    </row>
    <row r="60" spans="2:30" ht="15" customHeight="1">
      <c r="B60" s="33"/>
      <c r="C60" s="29"/>
      <c r="D60" s="47" t="str">
        <f>PTAout!D80</f>
        <v>Speed</v>
      </c>
      <c r="E60" s="27"/>
      <c r="F60" s="190" t="str">
        <f>PTAout!F80</f>
        <v/>
      </c>
      <c r="G60" s="399" t="str">
        <f>PTAout!H80</f>
        <v/>
      </c>
      <c r="H60" s="458" t="str">
        <f>PTAout!L80</f>
        <v/>
      </c>
      <c r="I60" s="458" t="str">
        <f>PTAout!Q80</f>
        <v/>
      </c>
      <c r="J60" s="458" t="str">
        <f>PTAout!V80</f>
        <v/>
      </c>
      <c r="K60" s="458" t="str">
        <f>PTAout!AA80</f>
        <v/>
      </c>
      <c r="L60" s="458" t="str">
        <f>PTAout!AF80</f>
        <v/>
      </c>
      <c r="M60" s="45"/>
      <c r="N60" s="919" t="s">
        <v>744</v>
      </c>
      <c r="O60" s="113">
        <v>5</v>
      </c>
      <c r="P60" s="113">
        <v>60</v>
      </c>
      <c r="Q60" s="473" t="str">
        <f>IF(OR(O60="",P60=""),"! Worst and best values not specified. The tool will not consider this indicator",IF(P60&lt;O60,"! Best value cannot be lower than worst value.The tool will not consider this indicator",IF(AND(G60="",OR(O60&lt;&gt;"",P60&lt;&gt;"")),"! No current value. The tool will not consider this indicator",IF(OR(AND(O60&gt;G60,G60&lt;&gt;""),AND(O60&gt;H60,H60&lt;&gt;""),AND(O60&gt;I60,I60&lt;&gt;""),AND(O60&gt;J60,I60&lt;&gt;""),AND(O60&gt;K60,K60&lt;&gt;""),AND(O60&gt;L60,L60&lt;&gt;"")),"! Worst value cannot be higher than values for options.The tool will not consider this indicator",IF(OR(AND(P60&lt;G60,G60&lt;&gt;""),AND(P60&lt;H60,H60&lt;&gt;""),AND(P60&lt;I60,I60&lt;&gt;""),AND(P60&lt;J60,J60&lt;&gt;""),AND(P60&lt;K60,K60&lt;&gt;""),AND(P60&lt;L60,L60&lt;&gt;"")),"! Best value cannot be lower than values for options. The tool will not consider this indicator","")))))</f>
        <v>! No current value. The tool will not consider this indicator</v>
      </c>
      <c r="R60" s="170"/>
      <c r="S60" s="170"/>
      <c r="T60" s="170"/>
      <c r="U60" s="170"/>
      <c r="V60" s="170"/>
      <c r="W60" s="170"/>
      <c r="X60" s="170"/>
      <c r="Y60" s="170"/>
      <c r="Z60" s="31"/>
      <c r="AA60" s="29"/>
      <c r="AB60" s="29"/>
      <c r="AC60" s="29"/>
      <c r="AD60" s="29"/>
    </row>
    <row r="61" spans="2:30" ht="15" customHeight="1">
      <c r="B61" s="33"/>
      <c r="C61" s="29"/>
      <c r="D61" s="47" t="str">
        <f>PTAout!D81</f>
        <v>Travel time</v>
      </c>
      <c r="E61" s="27"/>
      <c r="F61" s="190" t="str">
        <f>PTAout!F81</f>
        <v/>
      </c>
      <c r="G61" s="429" t="str">
        <f>PTAout!H81</f>
        <v/>
      </c>
      <c r="H61" s="458" t="str">
        <f>PTAout!L81</f>
        <v/>
      </c>
      <c r="I61" s="458" t="str">
        <f>PTAout!Q81</f>
        <v/>
      </c>
      <c r="J61" s="458" t="str">
        <f>PTAout!V81</f>
        <v/>
      </c>
      <c r="K61" s="458" t="str">
        <f>PTAout!AA81</f>
        <v/>
      </c>
      <c r="L61" s="458" t="str">
        <f>PTAout!AF81</f>
        <v/>
      </c>
      <c r="M61" s="45"/>
      <c r="N61" s="919" t="s">
        <v>743</v>
      </c>
      <c r="O61" s="113">
        <v>60</v>
      </c>
      <c r="P61" s="113">
        <v>1</v>
      </c>
      <c r="Q61" s="473" t="str">
        <f>IF(OR(O61="",P61=""),"! Worst and best values not specified. The tool will not consider this indicator",IF(P61&gt;O61,"! Best value cannot be higher than worst value. The tool will not consider this indicator",IF(AND(G61="",OR(O61&lt;&gt;"",P61&lt;&gt;"")),"! No current value. The tool will not consider this indicator",IF(OR(AND(O61&lt;G61,G61&lt;&gt;""),AND(O61&lt;H61,H61&lt;&gt;""),AND(O61&lt;I61,I61&lt;&gt;""),AND(O61&lt;J61,J61&lt;&gt;""),AND(O61&lt;K61,K61&lt;&gt;""),AND(O61&lt;L61,L61&lt;&gt;"")),"! Worst value cannot be lower than values for options.The tool will not consider this indicator",IF(OR(AND(P61&gt;G61,G61&lt;&gt;""),AND(P61&gt;H61,H61&lt;&gt;""),AND(P61&gt;I61,I61&lt;&gt;""),AND(P61&gt;J61,J61&lt;&gt;""),AND(P61&gt;K61,K61&lt;&gt;""),AND(P61&gt;L61,L61&lt;&gt;"")),"! Best value cannot be higher than values for options.The tool will not consider this indicator","")))))</f>
        <v>! No current value. The tool will not consider this indicator</v>
      </c>
      <c r="R61" s="170"/>
      <c r="S61" s="170"/>
      <c r="T61" s="170"/>
      <c r="U61" s="170"/>
      <c r="V61" s="170"/>
      <c r="W61" s="170"/>
      <c r="X61" s="170"/>
      <c r="Y61" s="170"/>
      <c r="Z61" s="31"/>
      <c r="AA61" s="29"/>
      <c r="AB61" s="29"/>
      <c r="AC61" s="29"/>
      <c r="AD61" s="29"/>
    </row>
    <row r="62" spans="2:30" ht="15" customHeight="1">
      <c r="B62" s="33"/>
      <c r="C62" s="29"/>
      <c r="D62" s="47" t="str">
        <f>PTAout!D82</f>
        <v>Delays</v>
      </c>
      <c r="E62" s="27"/>
      <c r="F62" s="190" t="str">
        <f>PTAout!F82</f>
        <v/>
      </c>
      <c r="G62" s="399" t="str">
        <f>PTAout!H82</f>
        <v/>
      </c>
      <c r="H62" s="458" t="str">
        <f>PTAout!L82</f>
        <v/>
      </c>
      <c r="I62" s="458" t="str">
        <f>PTAout!Q82</f>
        <v/>
      </c>
      <c r="J62" s="458" t="str">
        <f>PTAout!V82</f>
        <v/>
      </c>
      <c r="K62" s="458" t="str">
        <f>PTAout!AA82</f>
        <v/>
      </c>
      <c r="L62" s="458" t="str">
        <f>PTAout!AF82</f>
        <v/>
      </c>
      <c r="M62" s="45"/>
      <c r="N62" s="761" t="s">
        <v>743</v>
      </c>
      <c r="O62" s="113">
        <v>1.5</v>
      </c>
      <c r="P62" s="113">
        <v>0</v>
      </c>
      <c r="Q62" s="473" t="str">
        <f>IF(OR(O62="",P62=""),"! Worst and best values not specified. The tool will not consider this indicator",IF(P62&gt;O62,"! Best value cannot be higher than worst value. The tool will not consider this indicator",IF(AND(G62="",OR(O62&lt;&gt;"",P62&lt;&gt;"")),"! No current value. The tool will not consider this indicator",IF(OR(AND(O62&lt;G62,G62&lt;&gt;""),AND(O62&lt;H62,H62&lt;&gt;""),AND(O62&lt;I62,I62&lt;&gt;""),AND(O62&lt;J62,J62&lt;&gt;""),AND(O62&lt;K62,K62&lt;&gt;""),AND(O62&lt;L62,L62&lt;&gt;"")),"! Worst value cannot be lower than values for options.The tool will not consider this indicator",IF(OR(AND(P62&gt;G62,G62&lt;&gt;""),AND(P62&gt;H62,H62&lt;&gt;""),AND(P62&gt;I62,I62&lt;&gt;""),AND(P62&gt;J62,J62&lt;&gt;""),AND(P62&gt;K62,K62&lt;&gt;""),AND(P62&gt;L62,L62&lt;&gt;"")),"! Best value cannot be higher than values for options.The tool will not consider this indicator","")))))</f>
        <v>! No current value. The tool will not consider this indicator</v>
      </c>
      <c r="R62" s="170"/>
      <c r="S62" s="170"/>
      <c r="T62" s="170"/>
      <c r="U62" s="170"/>
      <c r="V62" s="170"/>
      <c r="W62" s="170"/>
      <c r="X62" s="170"/>
      <c r="Y62" s="170"/>
      <c r="Z62" s="31"/>
      <c r="AA62" s="29"/>
      <c r="AB62" s="29"/>
      <c r="AC62" s="29"/>
      <c r="AD62" s="29"/>
    </row>
    <row r="63" spans="2:30" ht="15" customHeight="1">
      <c r="B63" s="33"/>
      <c r="C63" s="29"/>
      <c r="D63" s="47" t="str">
        <f>PTAout!D83</f>
        <v>Reliability</v>
      </c>
      <c r="E63" s="27"/>
      <c r="F63" s="190" t="str">
        <f>PTAout!F83</f>
        <v/>
      </c>
      <c r="G63" s="399" t="str">
        <f>PTAout!H83</f>
        <v/>
      </c>
      <c r="H63" s="458" t="str">
        <f>PTAout!L83</f>
        <v/>
      </c>
      <c r="I63" s="458" t="str">
        <f>PTAout!Q83</f>
        <v/>
      </c>
      <c r="J63" s="458" t="str">
        <f>PTAout!V83</f>
        <v/>
      </c>
      <c r="K63" s="458" t="str">
        <f>PTAout!AA83</f>
        <v/>
      </c>
      <c r="L63" s="458" t="str">
        <f>PTAout!AF83</f>
        <v/>
      </c>
      <c r="M63" s="45"/>
      <c r="N63" s="761" t="s">
        <v>743</v>
      </c>
      <c r="O63" s="453"/>
      <c r="P63" s="453"/>
      <c r="Q63" s="473" t="str">
        <f>IF(OR(O63="",P63=""),"! Worst and best values not specified. The tool will not consider this indicator",IF(P63&gt;O63,"! Best value cannot be higher than worst value. The tool will not consider this indicator",IF(AND(G63="",OR(O63&lt;&gt;"",P63&lt;&gt;"")),"! No current value. The tool will not consider this indicator",IF(OR(AND(O63&lt;G63,G63&lt;&gt;""),AND(O63&lt;H63,H63&lt;&gt;""),AND(O63&lt;I63,I63&lt;&gt;""),AND(O63&lt;J63,J63&lt;&gt;""),AND(O63&lt;K63,K63&lt;&gt;""),AND(O63&lt;L63,L63&lt;&gt;"")),"! Worst value cannot be lower than values for options.The tool will not consider this indicator",IF(OR(AND(P63&gt;G63,G63&lt;&gt;""),AND(P63&gt;H63,H63&lt;&gt;""),AND(P63&gt;I63,I63&lt;&gt;""),AND(P63&gt;J63,J63&lt;&gt;""),AND(P63&gt;K63,K63&lt;&gt;""),AND(P63&gt;L63,L63&lt;&gt;"")),"! Best value cannot be higher than values for options.The tool will not consider this indicator","")))))</f>
        <v>! Worst and best values not specified. The tool will not consider this indicator</v>
      </c>
      <c r="R63" s="170"/>
      <c r="S63" s="170"/>
      <c r="T63" s="170"/>
      <c r="U63" s="170"/>
      <c r="V63" s="170"/>
      <c r="W63" s="170"/>
      <c r="X63" s="170"/>
      <c r="Y63" s="170"/>
      <c r="Z63" s="31"/>
      <c r="AA63" s="29"/>
      <c r="AB63" s="29"/>
      <c r="AC63" s="29"/>
      <c r="AD63" s="29"/>
    </row>
    <row r="64" spans="2:30" ht="15" customHeight="1">
      <c r="B64" s="33"/>
      <c r="C64" s="59"/>
      <c r="D64" s="85" t="str">
        <f>PTAout!D84</f>
        <v>Trip quality</v>
      </c>
      <c r="E64" s="60"/>
      <c r="F64" s="294" t="str">
        <f>PTAout!F84</f>
        <v/>
      </c>
      <c r="G64" s="302" t="str">
        <f>PTAout!H84</f>
        <v/>
      </c>
      <c r="H64" s="302" t="str">
        <f>PTAout!L84</f>
        <v/>
      </c>
      <c r="I64" s="302" t="str">
        <f>PTAout!Q84</f>
        <v/>
      </c>
      <c r="J64" s="302" t="str">
        <f>PTAout!V84</f>
        <v/>
      </c>
      <c r="K64" s="302" t="str">
        <f>PTAout!AA84</f>
        <v/>
      </c>
      <c r="L64" s="302" t="str">
        <f>PTAout!AF84</f>
        <v/>
      </c>
      <c r="M64" s="45"/>
      <c r="N64" s="762" t="s">
        <v>743</v>
      </c>
      <c r="O64" s="454">
        <v>0</v>
      </c>
      <c r="P64" s="454">
        <v>100</v>
      </c>
      <c r="Q64" s="478" t="str">
        <f>IF(OR(O64="",P64=""),"! Worst and best values not specified. The tool will not consider this indicator",IF(P64&gt;O64,"! Best value cannot be higher than worst value. The tool will not consider this indicator",IF(AND(G64="",OR(O64&lt;&gt;"",P64&lt;&gt;"")),"! No current value. The tool will not consider this indicator",IF(OR(AND(O64&lt;G64,G64&lt;&gt;""),AND(O64&lt;H64,H64&lt;&gt;""),AND(O64&lt;I64,I64&lt;&gt;""),AND(O64&lt;J64,J64&lt;&gt;""),AND(O64&lt;K64,K64&lt;&gt;""),AND(O64&lt;L64,L64&lt;&gt;"")),"! Worst value cannot be lower than values for options.The tool will not consider this indicator",IF(OR(AND(P64&gt;G64,G64&lt;&gt;""),AND(P64&gt;H64,H64&lt;&gt;""),AND(P64&gt;I64,I64&lt;&gt;""),AND(P64&gt;J64,J64&lt;&gt;""),AND(P64&gt;K64,K64&lt;&gt;""),AND(P64&gt;L64,L64&lt;&gt;"")),"! Best value cannot be higher than values for options.The tool will not consider this indicator","")))))</f>
        <v>! Best value cannot be higher than worst value. The tool will not consider this indicator</v>
      </c>
      <c r="R64" s="307"/>
      <c r="S64" s="307"/>
      <c r="T64" s="307"/>
      <c r="U64" s="307"/>
      <c r="V64" s="307"/>
      <c r="W64" s="307"/>
      <c r="X64" s="307"/>
      <c r="Y64" s="307"/>
      <c r="Z64" s="31"/>
      <c r="AA64" s="29"/>
      <c r="AB64" s="29"/>
      <c r="AC64" s="29"/>
      <c r="AD64" s="29"/>
    </row>
    <row r="65" spans="2:30" ht="15" customHeight="1">
      <c r="B65" s="33"/>
      <c r="C65" s="293" t="str">
        <f>PTAout!C85</f>
        <v>Motorcyclists</v>
      </c>
      <c r="D65" s="289"/>
      <c r="E65" s="290"/>
      <c r="F65" s="369"/>
      <c r="G65" s="296"/>
      <c r="H65" s="296"/>
      <c r="I65" s="296"/>
      <c r="J65" s="296"/>
      <c r="K65" s="296"/>
      <c r="L65" s="296"/>
      <c r="M65" s="928"/>
      <c r="N65" s="758"/>
      <c r="O65" s="398"/>
      <c r="P65" s="398"/>
      <c r="Q65" s="475"/>
      <c r="R65" s="292"/>
      <c r="S65" s="292"/>
      <c r="T65" s="292"/>
      <c r="U65" s="292"/>
      <c r="V65" s="292"/>
      <c r="W65" s="292"/>
      <c r="X65" s="292"/>
      <c r="Y65" s="292"/>
      <c r="Z65" s="31"/>
      <c r="AA65" s="29"/>
      <c r="AB65" s="29"/>
      <c r="AC65" s="29"/>
      <c r="AD65" s="29"/>
    </row>
    <row r="66" spans="2:30" ht="15" customHeight="1">
      <c r="B66" s="33"/>
      <c r="C66" s="29"/>
      <c r="D66" s="47" t="str">
        <f>PTAout!D86</f>
        <v>Space</v>
      </c>
      <c r="E66" s="27"/>
      <c r="F66" s="190" t="str">
        <f>PTAout!F86</f>
        <v>Width available</v>
      </c>
      <c r="G66" s="405" t="str">
        <f>PTAout!H86</f>
        <v/>
      </c>
      <c r="H66" s="405" t="str">
        <f>PTAout!L86</f>
        <v/>
      </c>
      <c r="I66" s="405" t="str">
        <f>PTAout!Q86</f>
        <v/>
      </c>
      <c r="J66" s="405" t="str">
        <f>PTAout!V86</f>
        <v/>
      </c>
      <c r="K66" s="405" t="str">
        <f>PTAout!AA86</f>
        <v/>
      </c>
      <c r="L66" s="404" t="str">
        <f>PTAout!AF86</f>
        <v/>
      </c>
      <c r="M66" s="45"/>
      <c r="N66" s="919" t="s">
        <v>744</v>
      </c>
      <c r="O66" s="211">
        <v>0</v>
      </c>
      <c r="P66" s="113">
        <v>44</v>
      </c>
      <c r="Q66" s="473" t="str">
        <f>IF(OR(O66="",P66=""),"! Worst and best values not specified. The tool will not consider this indicator",IF(P66&lt;O66,"! Best value cannot be lower than worst value.The tool will not consider this indicator",IF(AND(G66="",OR(O66&lt;&gt;"",P66&lt;&gt;"")),"! No current value. The tool will not consider this indicator",IF(OR(AND(O66&gt;G66,G66&lt;&gt;""),AND(O66&gt;H66,H66&lt;&gt;""),AND(O66&gt;I66,I66&lt;&gt;""),AND(O66&gt;J66,I66&lt;&gt;""),AND(O66&gt;K66,K66&lt;&gt;""),AND(O66&gt;L66,L66&lt;&gt;"")),"! Worst value cannot be higher than values for options.The tool will not consider this indicator",IF(OR(AND(P66&lt;G66,G66&lt;&gt;""),AND(P66&lt;H66,H66&lt;&gt;""),AND(P66&lt;I66,I66&lt;&gt;""),AND(P66&lt;J66,J66&lt;&gt;""),AND(P66&lt;K66,K66&lt;&gt;""),AND(P66&lt;L66,L66&lt;&gt;"")),"! Best value cannot be lower than values for options. The tool will not consider this indicator","")))))</f>
        <v>! No current value. The tool will not consider this indicator</v>
      </c>
      <c r="R66" s="170"/>
      <c r="S66" s="170"/>
      <c r="T66" s="170"/>
      <c r="U66" s="170"/>
      <c r="V66" s="170"/>
      <c r="W66" s="170"/>
      <c r="X66" s="170"/>
      <c r="Y66" s="170"/>
      <c r="Z66" s="31"/>
      <c r="AA66" s="29"/>
      <c r="AB66" s="29"/>
      <c r="AC66" s="29"/>
      <c r="AD66" s="29"/>
    </row>
    <row r="67" spans="2:30" ht="15" customHeight="1">
      <c r="B67" s="33"/>
      <c r="C67" s="29"/>
      <c r="D67" s="47" t="str">
        <f>PTAout!D87</f>
        <v>Volume</v>
      </c>
      <c r="E67" s="27"/>
      <c r="F67" s="190" t="str">
        <f>PTAout!F87</f>
        <v/>
      </c>
      <c r="G67" s="269" t="str">
        <f>PTAout!H87</f>
        <v/>
      </c>
      <c r="H67" s="269" t="str">
        <f>PTAout!L87</f>
        <v/>
      </c>
      <c r="I67" s="269" t="str">
        <f>PTAout!Q87</f>
        <v/>
      </c>
      <c r="J67" s="269" t="str">
        <f>PTAout!V87</f>
        <v/>
      </c>
      <c r="K67" s="269" t="str">
        <f>PTAout!AA87</f>
        <v/>
      </c>
      <c r="L67" s="404" t="str">
        <f>PTAout!AF87</f>
        <v/>
      </c>
      <c r="M67" s="45"/>
      <c r="N67" s="919" t="s">
        <v>744</v>
      </c>
      <c r="O67" s="113">
        <v>0</v>
      </c>
      <c r="P67" s="113">
        <v>12000</v>
      </c>
      <c r="Q67" s="473" t="str">
        <f>IF(OR(O67="",P67=""),"! Worst and best values not specified. The tool will not consider this indicator",IF(P67&lt;O67,"! Best value cannot be lower than worst value.The tool will not consider this indicator",IF(AND(G67="",OR(O67&lt;&gt;"",P67&lt;&gt;"")),"! No current value. The tool will not consider this indicator",IF(OR(AND(O67&gt;G67,G67&lt;&gt;""),AND(O67&gt;H67,H67&lt;&gt;""),AND(O67&gt;I67,I67&lt;&gt;""),AND(O67&gt;J67,I67&lt;&gt;""),AND(O67&gt;K67,K67&lt;&gt;""),AND(O67&gt;L67,L67&lt;&gt;"")),"! Worst value cannot be higher than values for options.The tool will not consider this indicator",IF(OR(AND(P67&lt;G67,G67&lt;&gt;""),AND(P67&lt;H67,H67&lt;&gt;""),AND(P67&lt;I67,I67&lt;&gt;""),AND(P67&lt;J67,J67&lt;&gt;""),AND(P67&lt;K67,K67&lt;&gt;""),AND(P67&lt;L67,L67&lt;&gt;"")),"! Best value cannot be lower than values for options. The tool will not consider this indicator","")))))</f>
        <v>! No current value. The tool will not consider this indicator</v>
      </c>
      <c r="R67" s="170"/>
      <c r="S67" s="170"/>
      <c r="T67" s="170"/>
      <c r="U67" s="170"/>
      <c r="V67" s="170"/>
      <c r="W67" s="170"/>
      <c r="X67" s="170"/>
      <c r="Y67" s="170"/>
      <c r="Z67" s="31"/>
      <c r="AA67" s="29"/>
      <c r="AB67" s="29"/>
      <c r="AC67" s="29"/>
      <c r="AD67" s="29"/>
    </row>
    <row r="68" spans="2:30" ht="15" customHeight="1">
      <c r="B68" s="33"/>
      <c r="C68" s="29"/>
      <c r="D68" s="47" t="str">
        <f>PTAout!D88</f>
        <v>Speed</v>
      </c>
      <c r="E68" s="27"/>
      <c r="F68" s="190" t="str">
        <f>PTAout!F88</f>
        <v/>
      </c>
      <c r="G68" s="399" t="str">
        <f>PTAout!H88</f>
        <v/>
      </c>
      <c r="H68" s="458" t="str">
        <f>PTAout!L88</f>
        <v/>
      </c>
      <c r="I68" s="458" t="str">
        <f>PTAout!Q88</f>
        <v/>
      </c>
      <c r="J68" s="458" t="str">
        <f>PTAout!V88</f>
        <v/>
      </c>
      <c r="K68" s="458" t="str">
        <f>PTAout!AA88</f>
        <v/>
      </c>
      <c r="L68" s="458" t="str">
        <f>PTAout!AF88</f>
        <v/>
      </c>
      <c r="M68" s="45"/>
      <c r="N68" s="919" t="s">
        <v>744</v>
      </c>
      <c r="O68" s="113">
        <v>5</v>
      </c>
      <c r="P68" s="113">
        <v>60</v>
      </c>
      <c r="Q68" s="473" t="str">
        <f>IF(OR(O68="",P68=""),"! Worst and best values not specified. The tool will not consider this indicator",IF(P68&lt;O68,"! Best value cannot be lower than worst value.The tool will not consider this indicator",IF(AND(G68="",OR(O68&lt;&gt;"",P68&lt;&gt;"")),"! No current value. The tool will not consider this indicator",IF(OR(AND(O68&gt;G68,G68&lt;&gt;""),AND(O68&gt;H68,H68&lt;&gt;""),AND(O68&gt;I68,I68&lt;&gt;""),AND(O68&gt;J68,I68&lt;&gt;""),AND(O68&gt;K68,K68&lt;&gt;""),AND(O68&gt;L68,L68&lt;&gt;"")),"! Worst value cannot be higher than values for options.The tool will not consider this indicator",IF(OR(AND(P68&lt;G68,G68&lt;&gt;""),AND(P68&lt;H68,H68&lt;&gt;""),AND(P68&lt;I68,I68&lt;&gt;""),AND(P68&lt;J68,J68&lt;&gt;""),AND(P68&lt;K68,K68&lt;&gt;""),AND(P68&lt;L68,L68&lt;&gt;"")),"! Best value cannot be lower than values for options. The tool will not consider this indicator","")))))</f>
        <v>! No current value. The tool will not consider this indicator</v>
      </c>
      <c r="R68" s="170"/>
      <c r="S68" s="170"/>
      <c r="T68" s="170"/>
      <c r="U68" s="170"/>
      <c r="V68" s="170"/>
      <c r="W68" s="170"/>
      <c r="X68" s="170"/>
      <c r="Y68" s="170"/>
      <c r="Z68" s="31"/>
      <c r="AA68" s="29"/>
      <c r="AB68" s="29"/>
      <c r="AC68" s="29"/>
      <c r="AD68" s="29"/>
    </row>
    <row r="69" spans="2:30" ht="15" customHeight="1">
      <c r="B69" s="33"/>
      <c r="C69" s="29"/>
      <c r="D69" s="47" t="str">
        <f>PTAout!D89</f>
        <v>Travel time</v>
      </c>
      <c r="E69" s="27"/>
      <c r="F69" s="190" t="str">
        <f>PTAout!F89</f>
        <v/>
      </c>
      <c r="G69" s="429" t="str">
        <f>PTAout!H89</f>
        <v/>
      </c>
      <c r="H69" s="458" t="str">
        <f>PTAout!L89</f>
        <v/>
      </c>
      <c r="I69" s="458" t="str">
        <f>PTAout!Q89</f>
        <v/>
      </c>
      <c r="J69" s="458" t="str">
        <f>PTAout!V89</f>
        <v/>
      </c>
      <c r="K69" s="458" t="str">
        <f>PTAout!AA89</f>
        <v/>
      </c>
      <c r="L69" s="458" t="str">
        <f>PTAout!AF89</f>
        <v/>
      </c>
      <c r="M69" s="45"/>
      <c r="N69" s="919" t="s">
        <v>743</v>
      </c>
      <c r="O69" s="113">
        <v>60</v>
      </c>
      <c r="P69" s="113">
        <v>1</v>
      </c>
      <c r="Q69" s="473" t="str">
        <f>IF(OR(O69="",P69=""),"! Worst and best values not specified. The tool will not consider this indicator",IF(P69&gt;O69,"! Best value cannot be higher than worst value. The tool will not consider this indicator",IF(AND(G69="",OR(O69&lt;&gt;"",P69&lt;&gt;"")),"! No current value. The tool will not consider this indicator",IF(OR(AND(O69&lt;G69,G69&lt;&gt;""),AND(O69&lt;H69,H69&lt;&gt;""),AND(O69&lt;I69,I69&lt;&gt;""),AND(O69&lt;J69,J69&lt;&gt;""),AND(O69&lt;K69,K69&lt;&gt;""),AND(O69&lt;L69,L69&lt;&gt;"")),"! Worst value cannot be lower than values for options.The tool will not consider this indicator",IF(OR(AND(P69&gt;G69,G69&lt;&gt;""),AND(P69&gt;H69,H69&lt;&gt;""),AND(P69&gt;I69,I69&lt;&gt;""),AND(P69&gt;J69,J69&lt;&gt;""),AND(P69&gt;K69,K69&lt;&gt;""),AND(P69&gt;L69,L69&lt;&gt;"")),"! Best value cannot be higher than values for options.The tool will not consider this indicator","")))))</f>
        <v>! No current value. The tool will not consider this indicator</v>
      </c>
      <c r="R69" s="170"/>
      <c r="S69" s="170"/>
      <c r="T69" s="170"/>
      <c r="U69" s="170"/>
      <c r="V69" s="170"/>
      <c r="W69" s="170"/>
      <c r="X69" s="170"/>
      <c r="Y69" s="170"/>
      <c r="Z69" s="31"/>
      <c r="AA69" s="29"/>
      <c r="AB69" s="29"/>
      <c r="AC69" s="29"/>
      <c r="AD69" s="29"/>
    </row>
    <row r="70" spans="2:30" ht="15" customHeight="1">
      <c r="B70" s="33"/>
      <c r="C70" s="29"/>
      <c r="D70" s="47" t="str">
        <f>PTAout!D90</f>
        <v>Delays</v>
      </c>
      <c r="E70" s="27"/>
      <c r="F70" s="190" t="str">
        <f>PTAout!F90</f>
        <v/>
      </c>
      <c r="G70" s="399" t="str">
        <f>PTAout!H90</f>
        <v/>
      </c>
      <c r="H70" s="458" t="str">
        <f>PTAout!L90</f>
        <v/>
      </c>
      <c r="I70" s="458" t="str">
        <f>PTAout!Q90</f>
        <v/>
      </c>
      <c r="J70" s="458" t="str">
        <f>PTAout!V90</f>
        <v/>
      </c>
      <c r="K70" s="458" t="str">
        <f>PTAout!AA90</f>
        <v/>
      </c>
      <c r="L70" s="458" t="str">
        <f>PTAout!AF90</f>
        <v/>
      </c>
      <c r="M70" s="45"/>
      <c r="N70" s="761" t="s">
        <v>743</v>
      </c>
      <c r="O70" s="113">
        <v>1.5</v>
      </c>
      <c r="P70" s="113">
        <v>0</v>
      </c>
      <c r="Q70" s="473" t="str">
        <f>IF(OR(O70="",P70=""),"! Worst and best values not specified. The tool will not consider this indicator",IF(P70&gt;O70,"! Best value cannot be higher than worst value. The tool will not consider this indicator",IF(AND(G70="",OR(O70&lt;&gt;"",P70&lt;&gt;"")),"! No current value. The tool will not consider this indicator",IF(OR(AND(O70&lt;G70,G70&lt;&gt;""),AND(O70&lt;H70,H70&lt;&gt;""),AND(O70&lt;I70,I70&lt;&gt;""),AND(O70&lt;J70,J70&lt;&gt;""),AND(O70&lt;K70,K70&lt;&gt;""),AND(O70&lt;L70,L70&lt;&gt;"")),"! Worst value cannot be lower than values for options.The tool will not consider this indicator",IF(OR(AND(P70&gt;G70,G70&lt;&gt;""),AND(P70&gt;H70,H70&lt;&gt;""),AND(P70&gt;I70,I70&lt;&gt;""),AND(P70&gt;J70,J70&lt;&gt;""),AND(P70&gt;K70,K70&lt;&gt;""),AND(P70&gt;L70,L70&lt;&gt;"")),"! Best value cannot be higher than values for options.The tool will not consider this indicator","")))))</f>
        <v>! No current value. The tool will not consider this indicator</v>
      </c>
      <c r="R70" s="170"/>
      <c r="S70" s="170"/>
      <c r="T70" s="170"/>
      <c r="U70" s="170"/>
      <c r="V70" s="170"/>
      <c r="W70" s="170"/>
      <c r="X70" s="170"/>
      <c r="Y70" s="170"/>
      <c r="Z70" s="31"/>
      <c r="AA70" s="29"/>
      <c r="AB70" s="29"/>
      <c r="AC70" s="29"/>
      <c r="AD70" s="29"/>
    </row>
    <row r="71" spans="2:30" ht="15" customHeight="1">
      <c r="B71" s="33"/>
      <c r="C71" s="29"/>
      <c r="D71" s="47" t="str">
        <f>PTAout!D91</f>
        <v>Reliability</v>
      </c>
      <c r="E71" s="27"/>
      <c r="F71" s="190" t="str">
        <f>PTAout!F91</f>
        <v/>
      </c>
      <c r="G71" s="399" t="str">
        <f>PTAout!H91</f>
        <v/>
      </c>
      <c r="H71" s="458" t="str">
        <f>PTAout!L91</f>
        <v/>
      </c>
      <c r="I71" s="458" t="str">
        <f>PTAout!Q91</f>
        <v/>
      </c>
      <c r="J71" s="458" t="str">
        <f>PTAout!V91</f>
        <v/>
      </c>
      <c r="K71" s="458" t="str">
        <f>PTAout!AA91</f>
        <v/>
      </c>
      <c r="L71" s="458" t="str">
        <f>PTAout!AF91</f>
        <v/>
      </c>
      <c r="M71" s="45"/>
      <c r="N71" s="761" t="s">
        <v>743</v>
      </c>
      <c r="O71" s="453"/>
      <c r="P71" s="453"/>
      <c r="Q71" s="473" t="str">
        <f>IF(OR(O71="",P71=""),"! Worst and best values not specified. The tool will not consider this indicator",IF(P71&gt;O71,"! Best value cannot be higher than worst value. The tool will not consider this indicator",IF(AND(G71="",OR(O71&lt;&gt;"",P71&lt;&gt;"")),"! No current value. The tool will not consider this indicator",IF(OR(AND(O71&lt;G71,G71&lt;&gt;""),AND(O71&lt;H71,H71&lt;&gt;""),AND(O71&lt;I71,I71&lt;&gt;""),AND(O71&lt;J71,J71&lt;&gt;""),AND(O71&lt;K71,K71&lt;&gt;""),AND(O71&lt;L71,L71&lt;&gt;"")),"! Worst value cannot be lower than values for options.The tool will not consider this indicator",IF(OR(AND(P71&gt;G71,G71&lt;&gt;""),AND(P71&gt;H71,H71&lt;&gt;""),AND(P71&gt;I71,I71&lt;&gt;""),AND(P71&gt;J71,J71&lt;&gt;""),AND(P71&gt;K71,K71&lt;&gt;""),AND(P71&gt;L71,L71&lt;&gt;"")),"! Best value cannot be higher than values for options.The tool will not consider this indicator","")))))</f>
        <v>! Worst and best values not specified. The tool will not consider this indicator</v>
      </c>
      <c r="R71" s="170"/>
      <c r="S71" s="170"/>
      <c r="T71" s="170"/>
      <c r="U71" s="170"/>
      <c r="V71" s="170"/>
      <c r="W71" s="170"/>
      <c r="X71" s="170"/>
      <c r="Y71" s="170"/>
      <c r="Z71" s="31"/>
      <c r="AA71" s="29"/>
      <c r="AB71" s="29"/>
      <c r="AC71" s="29"/>
      <c r="AD71" s="29"/>
    </row>
    <row r="72" spans="2:30" ht="15" customHeight="1">
      <c r="B72" s="33"/>
      <c r="C72" s="59"/>
      <c r="D72" s="85" t="str">
        <f>PTAout!D92</f>
        <v>Trip quality</v>
      </c>
      <c r="E72" s="60"/>
      <c r="F72" s="294" t="str">
        <f>PTAout!F92</f>
        <v/>
      </c>
      <c r="G72" s="302" t="str">
        <f>PTAout!H92</f>
        <v/>
      </c>
      <c r="H72" s="302" t="str">
        <f>PTAout!L92</f>
        <v/>
      </c>
      <c r="I72" s="302" t="str">
        <f>PTAout!Q92</f>
        <v/>
      </c>
      <c r="J72" s="302" t="str">
        <f>PTAout!V92</f>
        <v/>
      </c>
      <c r="K72" s="302" t="str">
        <f>PTAout!AA92</f>
        <v/>
      </c>
      <c r="L72" s="302" t="str">
        <f>PTAout!AF92</f>
        <v/>
      </c>
      <c r="M72" s="45"/>
      <c r="N72" s="762" t="s">
        <v>743</v>
      </c>
      <c r="O72" s="454">
        <v>0</v>
      </c>
      <c r="P72" s="454">
        <v>100</v>
      </c>
      <c r="Q72" s="478" t="str">
        <f>IF(OR(O72="",P72=""),"! Worst and best values not specified. The tool will not consider this indicator",IF(P72&gt;O72,"! Best value cannot be higher than worst value. The tool will not consider this indicator",IF(AND(G72="",OR(O72&lt;&gt;"",P72&lt;&gt;"")),"! No current value. The tool will not consider this indicator",IF(OR(AND(O72&lt;G72,G72&lt;&gt;""),AND(O72&lt;H72,H72&lt;&gt;""),AND(O72&lt;I72,I72&lt;&gt;""),AND(O72&lt;J72,J72&lt;&gt;""),AND(O72&lt;K72,K72&lt;&gt;""),AND(O72&lt;L72,L72&lt;&gt;"")),"! Worst value cannot be lower than values for options.The tool will not consider this indicator",IF(OR(AND(P72&gt;G72,G72&lt;&gt;""),AND(P72&gt;H72,H72&lt;&gt;""),AND(P72&gt;I72,I72&lt;&gt;""),AND(P72&gt;J72,J72&lt;&gt;""),AND(P72&gt;K72,K72&lt;&gt;""),AND(P72&gt;L72,L72&lt;&gt;"")),"! Best value cannot be higher than values for options.The tool will not consider this indicator","")))))</f>
        <v>! Best value cannot be higher than worst value. The tool will not consider this indicator</v>
      </c>
      <c r="R72" s="307"/>
      <c r="S72" s="307"/>
      <c r="T72" s="307"/>
      <c r="U72" s="307"/>
      <c r="V72" s="307"/>
      <c r="W72" s="307"/>
      <c r="X72" s="307"/>
      <c r="Y72" s="307"/>
      <c r="Z72" s="31"/>
      <c r="AA72" s="29"/>
      <c r="AB72" s="29"/>
      <c r="AC72" s="29"/>
      <c r="AD72" s="29"/>
    </row>
    <row r="73" spans="2:30" ht="15" customHeight="1">
      <c r="B73" s="33"/>
      <c r="C73" s="293" t="str">
        <f>PTAout!C93</f>
        <v>Goods vehicles</v>
      </c>
      <c r="D73" s="289"/>
      <c r="E73" s="290"/>
      <c r="F73" s="369"/>
      <c r="G73" s="296"/>
      <c r="H73" s="296"/>
      <c r="I73" s="296"/>
      <c r="J73" s="296"/>
      <c r="K73" s="296"/>
      <c r="L73" s="296"/>
      <c r="M73" s="928"/>
      <c r="N73" s="758"/>
      <c r="O73" s="398"/>
      <c r="P73" s="398"/>
      <c r="Q73" s="475"/>
      <c r="R73" s="292"/>
      <c r="S73" s="292"/>
      <c r="T73" s="292"/>
      <c r="U73" s="292"/>
      <c r="V73" s="292"/>
      <c r="W73" s="292"/>
      <c r="X73" s="292"/>
      <c r="Y73" s="292"/>
      <c r="Z73" s="31"/>
      <c r="AA73" s="29"/>
      <c r="AB73" s="29"/>
      <c r="AC73" s="29"/>
      <c r="AD73" s="29"/>
    </row>
    <row r="74" spans="2:30" ht="15" customHeight="1">
      <c r="B74" s="33"/>
      <c r="C74" s="29"/>
      <c r="D74" s="47" t="str">
        <f>PTAout!D94</f>
        <v>Space</v>
      </c>
      <c r="E74" s="27"/>
      <c r="F74" s="190" t="str">
        <f>PTAout!F94</f>
        <v>Width available</v>
      </c>
      <c r="G74" s="405" t="str">
        <f>PTAout!H94</f>
        <v/>
      </c>
      <c r="H74" s="405" t="str">
        <f>PTAout!L94</f>
        <v/>
      </c>
      <c r="I74" s="405" t="str">
        <f>PTAout!Q94</f>
        <v/>
      </c>
      <c r="J74" s="405" t="str">
        <f>PTAout!V94</f>
        <v/>
      </c>
      <c r="K74" s="405" t="str">
        <f>PTAout!AA94</f>
        <v/>
      </c>
      <c r="L74" s="404" t="str">
        <f>PTAout!AF94</f>
        <v/>
      </c>
      <c r="M74" s="928"/>
      <c r="N74" s="919" t="s">
        <v>744</v>
      </c>
      <c r="O74" s="211">
        <v>0</v>
      </c>
      <c r="P74" s="113">
        <v>20</v>
      </c>
      <c r="Q74" s="473" t="str">
        <f>IF(OR(O74="",P74=""),"! Worst and best values not specified. The tool will not consider this indicator",IF(P74&lt;O74,"! Best value cannot be lower than worst value.The tool will not consider this indicator",IF(AND(G74="",OR(O74&lt;&gt;"",P74&lt;&gt;"")),"! No current value. The tool will not consider this indicator",IF(OR(AND(O74&gt;G74,G74&lt;&gt;""),AND(O74&gt;H74,H74&lt;&gt;""),AND(O74&gt;I74,I74&lt;&gt;""),AND(O74&gt;J74,I74&lt;&gt;""),AND(O74&gt;K74,K74&lt;&gt;""),AND(O74&gt;L74,L74&lt;&gt;"")),"! Worst value cannot be higher than values for options.The tool will not consider this indicator",IF(OR(AND(P74&lt;G74,G74&lt;&gt;""),AND(P74&lt;H74,H74&lt;&gt;""),AND(P74&lt;I74,I74&lt;&gt;""),AND(P74&lt;J74,J74&lt;&gt;""),AND(P74&lt;K74,K74&lt;&gt;""),AND(P74&lt;L74,L74&lt;&gt;"")),"! Best value cannot be lower than values for options. The tool will not consider this indicator","")))))</f>
        <v>! No current value. The tool will not consider this indicator</v>
      </c>
      <c r="R74" s="307"/>
      <c r="S74" s="307"/>
      <c r="T74" s="307"/>
      <c r="U74" s="307"/>
      <c r="V74" s="307"/>
      <c r="W74" s="307"/>
      <c r="X74" s="307"/>
      <c r="Y74" s="307"/>
      <c r="Z74" s="31"/>
      <c r="AA74" s="29"/>
      <c r="AB74" s="29"/>
      <c r="AC74" s="29"/>
      <c r="AD74" s="29"/>
    </row>
    <row r="75" spans="2:30" ht="15" customHeight="1">
      <c r="B75" s="33"/>
      <c r="C75" s="29"/>
      <c r="D75" s="47" t="str">
        <f>PTAout!D95</f>
        <v>Volume</v>
      </c>
      <c r="E75" s="27"/>
      <c r="F75" s="190" t="str">
        <f>PTAout!F95</f>
        <v/>
      </c>
      <c r="G75" s="269" t="str">
        <f>PTAout!H95</f>
        <v/>
      </c>
      <c r="H75" s="269" t="str">
        <f>PTAout!L95</f>
        <v/>
      </c>
      <c r="I75" s="269" t="str">
        <f>PTAout!Q95</f>
        <v/>
      </c>
      <c r="J75" s="269" t="str">
        <f>PTAout!V95</f>
        <v/>
      </c>
      <c r="K75" s="269" t="str">
        <f>PTAout!AA95</f>
        <v/>
      </c>
      <c r="L75" s="404" t="str">
        <f>PTAout!AF95</f>
        <v/>
      </c>
      <c r="M75" s="928"/>
      <c r="N75" s="919" t="s">
        <v>744</v>
      </c>
      <c r="O75" s="113">
        <v>0</v>
      </c>
      <c r="P75" s="113">
        <v>40000</v>
      </c>
      <c r="Q75" s="473" t="str">
        <f>IF(OR(O75="",P75=""),"! Worst and best values not specified. The tool will not consider this indicator",IF(P75&lt;O75,"! Best value cannot be lower than worst value.The tool will not consider this indicator",IF(AND(G75="",OR(O75&lt;&gt;"",P75&lt;&gt;"")),"! No current value. The tool will not consider this indicator",IF(OR(AND(O75&gt;G75,G75&lt;&gt;""),AND(O75&gt;H75,H75&lt;&gt;""),AND(O75&gt;I75,I75&lt;&gt;""),AND(O75&gt;J75,I75&lt;&gt;""),AND(O75&gt;K75,K75&lt;&gt;""),AND(O75&gt;L75,L75&lt;&gt;"")),"! Worst value cannot be higher than values for options.The tool will not consider this indicator",IF(OR(AND(P75&lt;G75,G75&lt;&gt;""),AND(P75&lt;H75,H75&lt;&gt;""),AND(P75&lt;I75,I75&lt;&gt;""),AND(P75&lt;J75,J75&lt;&gt;""),AND(P75&lt;K75,K75&lt;&gt;""),AND(P75&lt;L75,L75&lt;&gt;"")),"! Best value cannot be lower than values for options. The tool will not consider this indicator","")))))</f>
        <v>! No current value. The tool will not consider this indicator</v>
      </c>
      <c r="R75" s="307"/>
      <c r="S75" s="307"/>
      <c r="T75" s="307"/>
      <c r="U75" s="307"/>
      <c r="V75" s="307"/>
      <c r="W75" s="307"/>
      <c r="X75" s="307"/>
      <c r="Y75" s="307"/>
      <c r="Z75" s="31"/>
      <c r="AA75" s="29"/>
      <c r="AB75" s="29"/>
      <c r="AC75" s="29"/>
      <c r="AD75" s="29"/>
    </row>
    <row r="76" spans="2:30" ht="15" customHeight="1">
      <c r="B76" s="33"/>
      <c r="C76" s="29"/>
      <c r="D76" s="47" t="str">
        <f>PTAout!D96</f>
        <v>Speed</v>
      </c>
      <c r="E76" s="27"/>
      <c r="F76" s="190" t="str">
        <f>PTAout!F96</f>
        <v/>
      </c>
      <c r="G76" s="399" t="str">
        <f>PTAout!H96</f>
        <v/>
      </c>
      <c r="H76" s="458" t="str">
        <f>PTAout!L96</f>
        <v/>
      </c>
      <c r="I76" s="458" t="str">
        <f>PTAout!Q96</f>
        <v/>
      </c>
      <c r="J76" s="458" t="str">
        <f>PTAout!V96</f>
        <v/>
      </c>
      <c r="K76" s="458" t="str">
        <f>PTAout!AA96</f>
        <v/>
      </c>
      <c r="L76" s="458" t="str">
        <f>PTAout!AF96</f>
        <v/>
      </c>
      <c r="M76" s="928"/>
      <c r="N76" s="919" t="s">
        <v>744</v>
      </c>
      <c r="O76" s="113">
        <v>5</v>
      </c>
      <c r="P76" s="113">
        <v>60</v>
      </c>
      <c r="Q76" s="473" t="str">
        <f>IF(OR(O76="",P76=""),"! Worst and best values not specified. The tool will not consider this indicator",IF(P76&lt;O76,"! Best value cannot be lower than worst value.The tool will not consider this indicator",IF(AND(G76="",OR(O76&lt;&gt;"",P76&lt;&gt;"")),"! No current value. The tool will not consider this indicator",IF(OR(AND(O76&gt;G76,G76&lt;&gt;""),AND(O76&gt;H76,H76&lt;&gt;""),AND(O76&gt;I76,I76&lt;&gt;""),AND(O76&gt;J76,I76&lt;&gt;""),AND(O76&gt;K76,K76&lt;&gt;""),AND(O76&gt;L76,L76&lt;&gt;"")),"! Worst value cannot be higher than values for options.The tool will not consider this indicator",IF(OR(AND(P76&lt;G76,G76&lt;&gt;""),AND(P76&lt;H76,H76&lt;&gt;""),AND(P76&lt;I76,I76&lt;&gt;""),AND(P76&lt;J76,J76&lt;&gt;""),AND(P76&lt;K76,K76&lt;&gt;""),AND(P76&lt;L76,L76&lt;&gt;"")),"! Best value cannot be lower than values for options. The tool will not consider this indicator","")))))</f>
        <v>! No current value. The tool will not consider this indicator</v>
      </c>
      <c r="R76" s="307"/>
      <c r="S76" s="307"/>
      <c r="T76" s="307"/>
      <c r="U76" s="307"/>
      <c r="V76" s="307"/>
      <c r="W76" s="307"/>
      <c r="X76" s="307"/>
      <c r="Y76" s="307"/>
      <c r="Z76" s="31"/>
      <c r="AA76" s="29"/>
      <c r="AB76" s="29"/>
      <c r="AC76" s="29"/>
      <c r="AD76" s="29"/>
    </row>
    <row r="77" spans="2:30" ht="15" customHeight="1">
      <c r="B77" s="33"/>
      <c r="C77" s="29"/>
      <c r="D77" s="47" t="str">
        <f>PTAout!D97</f>
        <v>Travel time</v>
      </c>
      <c r="E77" s="27"/>
      <c r="F77" s="190" t="str">
        <f>PTAout!F97</f>
        <v/>
      </c>
      <c r="G77" s="429" t="str">
        <f>PTAout!H97</f>
        <v/>
      </c>
      <c r="H77" s="458" t="str">
        <f>PTAout!L97</f>
        <v/>
      </c>
      <c r="I77" s="458" t="str">
        <f>PTAout!Q97</f>
        <v/>
      </c>
      <c r="J77" s="458" t="str">
        <f>PTAout!V97</f>
        <v/>
      </c>
      <c r="K77" s="458" t="str">
        <f>PTAout!AA97</f>
        <v/>
      </c>
      <c r="L77" s="458" t="str">
        <f>PTAout!AF97</f>
        <v/>
      </c>
      <c r="M77" s="45"/>
      <c r="N77" s="919" t="s">
        <v>743</v>
      </c>
      <c r="O77" s="113">
        <v>60</v>
      </c>
      <c r="P77" s="113">
        <v>1</v>
      </c>
      <c r="Q77" s="473" t="str">
        <f>IF(OR(O77="",P77=""),"! Worst and best values not specified. The tool will not consider this indicator",IF(P77&gt;O77,"! Best value cannot be higher than worst value. The tool will not consider this indicator",IF(AND(G77="",OR(O77&lt;&gt;"",P77&lt;&gt;"")),"! No current value. The tool will not consider this indicator",IF(OR(AND(O77&lt;G77,G77&lt;&gt;""),AND(O77&lt;H77,H77&lt;&gt;""),AND(O77&lt;I77,I77&lt;&gt;""),AND(O77&lt;J77,J77&lt;&gt;""),AND(O77&lt;K77,K77&lt;&gt;""),AND(O77&lt;L77,L77&lt;&gt;"")),"! Worst value cannot be lower than values for options.The tool will not consider this indicator",IF(OR(AND(P77&gt;G77,G77&lt;&gt;""),AND(P77&gt;H77,H77&lt;&gt;""),AND(P77&gt;I77,I77&lt;&gt;""),AND(P77&gt;J77,J77&lt;&gt;""),AND(P77&gt;K77,K77&lt;&gt;""),AND(P77&gt;L77,L77&lt;&gt;"")),"! Best value cannot be higher than values for options.The tool will not consider this indicator","")))))</f>
        <v>! No current value. The tool will not consider this indicator</v>
      </c>
      <c r="R77" s="307"/>
      <c r="S77" s="307"/>
      <c r="T77" s="307"/>
      <c r="U77" s="307"/>
      <c r="V77" s="307"/>
      <c r="W77" s="307"/>
      <c r="X77" s="307"/>
      <c r="Y77" s="307"/>
      <c r="Z77" s="31"/>
      <c r="AA77" s="29"/>
      <c r="AB77" s="29"/>
      <c r="AC77" s="29"/>
      <c r="AD77" s="29"/>
    </row>
    <row r="78" spans="2:30" ht="15" customHeight="1">
      <c r="B78" s="33"/>
      <c r="C78" s="29"/>
      <c r="D78" s="47" t="str">
        <f>PTAout!D98</f>
        <v>Delays</v>
      </c>
      <c r="E78" s="27"/>
      <c r="F78" s="190" t="str">
        <f>PTAout!F98</f>
        <v/>
      </c>
      <c r="G78" s="399" t="str">
        <f>PTAout!H98</f>
        <v/>
      </c>
      <c r="H78" s="458" t="str">
        <f>PTAout!L98</f>
        <v/>
      </c>
      <c r="I78" s="458" t="str">
        <f>PTAout!Q98</f>
        <v/>
      </c>
      <c r="J78" s="458" t="str">
        <f>PTAout!V98</f>
        <v/>
      </c>
      <c r="K78" s="458" t="str">
        <f>PTAout!AA98</f>
        <v/>
      </c>
      <c r="L78" s="458" t="str">
        <f>PTAout!AF98</f>
        <v/>
      </c>
      <c r="M78" s="45"/>
      <c r="N78" s="761" t="s">
        <v>743</v>
      </c>
      <c r="O78" s="113">
        <v>1.5</v>
      </c>
      <c r="P78" s="113">
        <v>0</v>
      </c>
      <c r="Q78" s="473" t="str">
        <f>IF(OR(O78="",P78=""),"! Worst and best values not specified. The tool will not consider this indicator",IF(P78&gt;O78,"! Best value cannot be higher than worst value. The tool will not consider this indicator",IF(AND(G78="",OR(O78&lt;&gt;"",P78&lt;&gt;"")),"! No current value. The tool will not consider this indicator",IF(OR(AND(O78&lt;G78,G78&lt;&gt;""),AND(O78&lt;H78,H78&lt;&gt;""),AND(O78&lt;I78,I78&lt;&gt;""),AND(O78&lt;J78,J78&lt;&gt;""),AND(O78&lt;K78,K78&lt;&gt;""),AND(O78&lt;L78,L78&lt;&gt;"")),"! Worst value cannot be lower than values for options.The tool will not consider this indicator",IF(OR(AND(P78&gt;G78,G78&lt;&gt;""),AND(P78&gt;H78,H78&lt;&gt;""),AND(P78&gt;I78,I78&lt;&gt;""),AND(P78&gt;J78,J78&lt;&gt;""),AND(P78&gt;K78,K78&lt;&gt;""),AND(P78&gt;L78,L78&lt;&gt;"")),"! Best value cannot be higher than values for options.The tool will not consider this indicator","")))))</f>
        <v>! No current value. The tool will not consider this indicator</v>
      </c>
      <c r="R78" s="170"/>
      <c r="S78" s="170"/>
      <c r="T78" s="170"/>
      <c r="U78" s="170"/>
      <c r="V78" s="170"/>
      <c r="W78" s="170"/>
      <c r="X78" s="170"/>
      <c r="Y78" s="170"/>
      <c r="Z78" s="31"/>
      <c r="AA78" s="29"/>
      <c r="AB78" s="29"/>
      <c r="AC78" s="29"/>
      <c r="AD78" s="29"/>
    </row>
    <row r="79" spans="2:30" ht="15" customHeight="1">
      <c r="B79" s="33"/>
      <c r="C79" s="29"/>
      <c r="D79" s="47" t="str">
        <f>PTAout!D99</f>
        <v>Reliability</v>
      </c>
      <c r="E79" s="27"/>
      <c r="F79" s="190" t="str">
        <f>PTAout!F99</f>
        <v/>
      </c>
      <c r="G79" s="399" t="str">
        <f>PTAout!H99</f>
        <v/>
      </c>
      <c r="H79" s="458" t="str">
        <f>PTAout!L99</f>
        <v/>
      </c>
      <c r="I79" s="458" t="str">
        <f>PTAout!Q99</f>
        <v/>
      </c>
      <c r="J79" s="458" t="str">
        <f>PTAout!V99</f>
        <v/>
      </c>
      <c r="K79" s="458" t="str">
        <f>PTAout!AA99</f>
        <v/>
      </c>
      <c r="L79" s="458" t="str">
        <f>PTAout!AF99</f>
        <v/>
      </c>
      <c r="M79" s="45"/>
      <c r="N79" s="761" t="s">
        <v>743</v>
      </c>
      <c r="O79" s="453"/>
      <c r="P79" s="453"/>
      <c r="Q79" s="473" t="str">
        <f>IF(OR(O79="",P79=""),"! Worst and best values not specified. The tool will not consider this indicator",IF(P79&gt;O79,"! Best value cannot be higher than worst value. The tool will not consider this indicator",IF(AND(G79="",OR(O79&lt;&gt;"",P79&lt;&gt;"")),"! No current value. The tool will not consider this indicator",IF(OR(AND(O79&lt;G79,G79&lt;&gt;""),AND(O79&lt;H79,H79&lt;&gt;""),AND(O79&lt;I79,I79&lt;&gt;""),AND(O79&lt;J79,J79&lt;&gt;""),AND(O79&lt;K79,K79&lt;&gt;""),AND(O79&lt;L79,L79&lt;&gt;"")),"! Worst value cannot be lower than values for options.The tool will not consider this indicator",IF(OR(AND(P79&gt;G79,G79&lt;&gt;""),AND(P79&gt;H79,H79&lt;&gt;""),AND(P79&gt;I79,I79&lt;&gt;""),AND(P79&gt;J79,J79&lt;&gt;""),AND(P79&gt;K79,K79&lt;&gt;""),AND(P79&gt;L79,L79&lt;&gt;"")),"! Best value cannot be higher than values for options.The tool will not consider this indicator","")))))</f>
        <v>! Worst and best values not specified. The tool will not consider this indicator</v>
      </c>
      <c r="R79" s="170"/>
      <c r="S79" s="170"/>
      <c r="T79" s="170"/>
      <c r="U79" s="170"/>
      <c r="V79" s="170"/>
      <c r="W79" s="170"/>
      <c r="X79" s="170"/>
      <c r="Y79" s="170"/>
      <c r="Z79" s="31"/>
      <c r="AA79" s="29"/>
      <c r="AB79" s="29"/>
      <c r="AC79" s="29"/>
      <c r="AD79" s="29"/>
    </row>
    <row r="80" spans="2:30" ht="15" customHeight="1">
      <c r="B80" s="33"/>
      <c r="C80" s="59"/>
      <c r="D80" s="85" t="str">
        <f>PTAout!D100</f>
        <v>Trip quality</v>
      </c>
      <c r="E80" s="60"/>
      <c r="F80" s="294" t="str">
        <f>PTAout!F100</f>
        <v/>
      </c>
      <c r="G80" s="302" t="str">
        <f>PTAout!H100</f>
        <v/>
      </c>
      <c r="H80" s="302" t="str">
        <f>PTAout!L100</f>
        <v/>
      </c>
      <c r="I80" s="302" t="str">
        <f>PTAout!Q100</f>
        <v/>
      </c>
      <c r="J80" s="302" t="str">
        <f>PTAout!V100</f>
        <v/>
      </c>
      <c r="K80" s="302" t="str">
        <f>PTAout!AA100</f>
        <v/>
      </c>
      <c r="L80" s="302" t="str">
        <f>PTAout!AF100</f>
        <v/>
      </c>
      <c r="M80" s="45"/>
      <c r="N80" s="762" t="s">
        <v>743</v>
      </c>
      <c r="O80" s="454">
        <v>0</v>
      </c>
      <c r="P80" s="454">
        <v>100</v>
      </c>
      <c r="Q80" s="478" t="str">
        <f>IF(OR(O80="",P80=""),"! Worst and best values not specified. The tool will not consider this indicator",IF(P80&gt;O80,"! Best value cannot be higher than worst value. The tool will not consider this indicator",IF(AND(G80="",OR(O80&lt;&gt;"",P80&lt;&gt;"")),"! No current value. The tool will not consider this indicator",IF(OR(AND(O80&lt;G80,G80&lt;&gt;""),AND(O80&lt;H80,H80&lt;&gt;""),AND(O80&lt;I80,I80&lt;&gt;""),AND(O80&lt;J80,J80&lt;&gt;""),AND(O80&lt;K80,K80&lt;&gt;""),AND(O80&lt;L80,L80&lt;&gt;"")),"! Worst value cannot be lower than values for options.The tool will not consider this indicator",IF(OR(AND(P80&gt;G80,G80&lt;&gt;""),AND(P80&gt;H80,H80&lt;&gt;""),AND(P80&gt;I80,I80&lt;&gt;""),AND(P80&gt;J80,J80&lt;&gt;""),AND(P80&gt;K80,K80&lt;&gt;""),AND(P80&gt;L80,L80&lt;&gt;"")),"! Best value cannot be higher than values for options.The tool will not consider this indicator","")))))</f>
        <v>! Best value cannot be higher than worst value. The tool will not consider this indicator</v>
      </c>
      <c r="R80" s="170"/>
      <c r="S80" s="170"/>
      <c r="T80" s="170"/>
      <c r="U80" s="170"/>
      <c r="V80" s="170"/>
      <c r="W80" s="170"/>
      <c r="X80" s="170"/>
      <c r="Y80" s="170"/>
      <c r="Z80" s="31"/>
      <c r="AA80" s="29"/>
      <c r="AB80" s="29"/>
      <c r="AC80" s="29"/>
      <c r="AD80" s="29"/>
    </row>
    <row r="81" spans="2:30" ht="15" customHeight="1">
      <c r="B81" s="33"/>
      <c r="C81" s="29"/>
      <c r="D81" s="47"/>
      <c r="E81" s="27"/>
      <c r="F81" s="223"/>
      <c r="G81" s="296"/>
      <c r="H81" s="296"/>
      <c r="I81" s="296"/>
      <c r="J81" s="296"/>
      <c r="K81" s="296"/>
      <c r="L81" s="421"/>
      <c r="M81" s="928"/>
      <c r="N81" s="759"/>
      <c r="O81" s="400"/>
      <c r="P81" s="400"/>
      <c r="Q81" s="475"/>
      <c r="R81" s="105"/>
      <c r="S81" s="105"/>
      <c r="T81" s="105"/>
      <c r="U81" s="105"/>
      <c r="V81" s="105"/>
      <c r="W81" s="105"/>
      <c r="X81" s="105"/>
      <c r="Y81" s="105"/>
      <c r="Z81" s="31"/>
      <c r="AA81" s="29"/>
      <c r="AB81" s="29"/>
      <c r="AC81" s="29"/>
      <c r="AD81" s="29"/>
    </row>
    <row r="82" spans="2:30" ht="15" customHeight="1">
      <c r="B82" s="33"/>
      <c r="C82" s="86" t="str">
        <f>PTAout!C102</f>
        <v>Place function</v>
      </c>
      <c r="D82" s="85"/>
      <c r="E82" s="60"/>
      <c r="F82" s="224"/>
      <c r="G82" s="422"/>
      <c r="H82" s="422"/>
      <c r="I82" s="422"/>
      <c r="J82" s="422"/>
      <c r="K82" s="422"/>
      <c r="L82" s="422"/>
      <c r="M82" s="45"/>
      <c r="N82" s="91"/>
      <c r="O82" s="91"/>
      <c r="P82" s="91"/>
      <c r="Q82" s="476"/>
      <c r="R82" s="298"/>
      <c r="S82" s="298"/>
      <c r="T82" s="298"/>
      <c r="U82" s="298"/>
      <c r="V82" s="298"/>
      <c r="W82" s="298"/>
      <c r="X82" s="298"/>
      <c r="Y82" s="298"/>
      <c r="Z82" s="31"/>
      <c r="AA82" s="29"/>
      <c r="AB82" s="29"/>
      <c r="AC82" s="29"/>
      <c r="AD82" s="29"/>
    </row>
    <row r="83" spans="2:30" ht="15" customHeight="1">
      <c r="B83" s="33"/>
      <c r="C83" s="293" t="str">
        <f>PTAout!C103</f>
        <v>Cycle parking</v>
      </c>
      <c r="D83" s="47"/>
      <c r="E83" s="27"/>
      <c r="F83" s="223"/>
      <c r="G83" s="421"/>
      <c r="H83" s="421"/>
      <c r="I83" s="421"/>
      <c r="J83" s="421"/>
      <c r="K83" s="421"/>
      <c r="L83" s="421"/>
      <c r="M83" s="45"/>
      <c r="N83" s="45"/>
      <c r="O83" s="45"/>
      <c r="P83" s="45"/>
      <c r="Q83" s="477"/>
      <c r="R83" s="211"/>
      <c r="S83" s="211"/>
      <c r="T83" s="211"/>
      <c r="U83" s="211"/>
      <c r="V83" s="211"/>
      <c r="W83" s="211"/>
      <c r="X83" s="211"/>
      <c r="Y83" s="211"/>
      <c r="Z83" s="31"/>
      <c r="AA83" s="29"/>
      <c r="AB83" s="29"/>
      <c r="AC83" s="29"/>
      <c r="AD83" s="29"/>
    </row>
    <row r="84" spans="2:30" ht="15" customHeight="1">
      <c r="B84" s="33"/>
      <c r="C84" s="29"/>
      <c r="D84" s="47" t="str">
        <f>PTAout!D104</f>
        <v>Space</v>
      </c>
      <c r="E84" s="27"/>
      <c r="F84" s="190" t="str">
        <f>PTAout!F104</f>
        <v>Number of spaces</v>
      </c>
      <c r="G84" s="404" t="str">
        <f>PTAout!H104</f>
        <v/>
      </c>
      <c r="H84" s="404" t="str">
        <f>PTAout!L104</f>
        <v/>
      </c>
      <c r="I84" s="404" t="str">
        <f>PTAout!Q104</f>
        <v/>
      </c>
      <c r="J84" s="404" t="str">
        <f>PTAout!V104</f>
        <v/>
      </c>
      <c r="K84" s="404" t="str">
        <f>PTAout!AA104</f>
        <v/>
      </c>
      <c r="L84" s="404" t="str">
        <f>PTAout!AF104</f>
        <v/>
      </c>
      <c r="M84" s="45"/>
      <c r="N84" s="919" t="s">
        <v>744</v>
      </c>
      <c r="O84" s="211">
        <v>0</v>
      </c>
      <c r="P84" s="113">
        <v>10</v>
      </c>
      <c r="Q84" s="473" t="str">
        <f>IF(OR(O84="",P84=""),"! Worst and best values not specified. The tool will not consider this indicator",IF(P84&lt;O84,"! Best value cannot be lower than worst value.The tool will not consider this indicator",IF(AND(G84="",OR(O84&lt;&gt;"",P84&lt;&gt;"")),"! No current value. The tool will not consider this indicator",IF(OR(AND(O84&gt;G84,G84&lt;&gt;""),AND(O84&gt;H84,H84&lt;&gt;""),AND(O84&gt;I84,I84&lt;&gt;""),AND(O84&gt;J84,I84&lt;&gt;""),AND(O84&gt;K84,K84&lt;&gt;""),AND(O84&gt;L84,L84&lt;&gt;"")),"! Worst value cannot be higher than values for options.The tool will not consider this indicator",IF(OR(AND(P84&lt;G84,G84&lt;&gt;""),AND(P84&lt;H84,H84&lt;&gt;""),AND(P84&lt;I84,I84&lt;&gt;""),AND(P84&lt;J84,J84&lt;&gt;""),AND(P84&lt;K84,K84&lt;&gt;""),AND(P84&lt;L84,L84&lt;&gt;"")),"! Best value cannot be lower than values for options. The tool will not consider this indicator","")))))</f>
        <v>! No current value. The tool will not consider this indicator</v>
      </c>
      <c r="R84" s="170"/>
      <c r="S84" s="170"/>
      <c r="T84" s="170"/>
      <c r="U84" s="170"/>
      <c r="V84" s="170"/>
      <c r="W84" s="170"/>
      <c r="X84" s="170"/>
      <c r="Y84" s="170"/>
      <c r="Z84" s="31"/>
      <c r="AA84" s="29"/>
      <c r="AB84" s="29"/>
      <c r="AC84" s="29"/>
      <c r="AD84" s="29"/>
    </row>
    <row r="85" spans="2:30" ht="15" customHeight="1">
      <c r="B85" s="33"/>
      <c r="C85" s="29"/>
      <c r="D85" s="47" t="str">
        <f>PTAout!D105</f>
        <v>Number of activities</v>
      </c>
      <c r="E85" s="27"/>
      <c r="F85" s="190" t="str">
        <f>PTAout!F105</f>
        <v/>
      </c>
      <c r="G85" s="269" t="str">
        <f>PTAout!H105</f>
        <v/>
      </c>
      <c r="H85" s="269" t="str">
        <f>PTAout!L105</f>
        <v/>
      </c>
      <c r="I85" s="269" t="str">
        <f>PTAout!Q105</f>
        <v/>
      </c>
      <c r="J85" s="269" t="str">
        <f>PTAout!V105</f>
        <v/>
      </c>
      <c r="K85" s="269" t="str">
        <f>PTAout!AA105</f>
        <v/>
      </c>
      <c r="L85" s="269" t="str">
        <f>PTAout!AF105</f>
        <v/>
      </c>
      <c r="M85" s="928"/>
      <c r="N85" s="919" t="s">
        <v>744</v>
      </c>
      <c r="O85" s="112">
        <v>0</v>
      </c>
      <c r="P85" s="112">
        <v>500</v>
      </c>
      <c r="Q85" s="473" t="str">
        <f>IF(OR(O85="",P85=""),"! Worst and best values not specified. The tool will not consider this indicator",IF(P85&lt;O85,"! Best value cannot be lower than worst value.The tool will not consider this indicator",IF(AND(G85="",OR(O85&lt;&gt;"",P85&lt;&gt;"")),"! No current value. The tool will not consider this indicator",IF(OR(AND(O85&gt;G85,G85&lt;&gt;""),AND(O85&gt;H85,H85&lt;&gt;""),AND(O85&gt;I85,I85&lt;&gt;""),AND(O85&gt;J85,I85&lt;&gt;""),AND(O85&gt;K85,K85&lt;&gt;""),AND(O85&gt;L85,L85&lt;&gt;"")),"! Worst value cannot be higher than values for options.The tool will not consider this indicator",IF(OR(AND(P85&lt;G85,G85&lt;&gt;""),AND(P85&lt;H85,H85&lt;&gt;""),AND(P85&lt;I85,I85&lt;&gt;""),AND(P85&lt;J85,J85&lt;&gt;""),AND(P85&lt;K85,K85&lt;&gt;""),AND(P85&lt;L85,L85&lt;&gt;"")),"! Best value cannot be lower than values for options. The tool will not consider this indicator","")))))</f>
        <v>! No current value. The tool will not consider this indicator</v>
      </c>
      <c r="R85" s="307"/>
      <c r="S85" s="307"/>
      <c r="T85" s="307"/>
      <c r="U85" s="307"/>
      <c r="V85" s="307"/>
      <c r="W85" s="307"/>
      <c r="X85" s="307"/>
      <c r="Y85" s="307"/>
      <c r="Z85" s="31"/>
      <c r="AA85" s="29"/>
      <c r="AB85" s="29"/>
      <c r="AC85" s="29"/>
      <c r="AD85" s="29"/>
    </row>
    <row r="86" spans="2:30" ht="15" customHeight="1">
      <c r="B86" s="33"/>
      <c r="C86" s="29"/>
      <c r="D86" s="47" t="str">
        <f>PTAout!D106</f>
        <v>Duration</v>
      </c>
      <c r="E86" s="27"/>
      <c r="F86" s="190" t="str">
        <f>PTAout!F106</f>
        <v/>
      </c>
      <c r="G86" s="399" t="str">
        <f>PTAout!H106</f>
        <v/>
      </c>
      <c r="H86" s="458" t="str">
        <f>PTAout!L106</f>
        <v/>
      </c>
      <c r="I86" s="458" t="str">
        <f>PTAout!Q106</f>
        <v/>
      </c>
      <c r="J86" s="458" t="str">
        <f>PTAout!V106</f>
        <v/>
      </c>
      <c r="K86" s="458" t="str">
        <f>PTAout!AA106</f>
        <v/>
      </c>
      <c r="L86" s="458" t="str">
        <f>PTAout!AF106</f>
        <v/>
      </c>
      <c r="M86" s="45"/>
      <c r="N86" s="919" t="s">
        <v>744</v>
      </c>
      <c r="O86" s="113">
        <v>0</v>
      </c>
      <c r="P86" s="113">
        <v>60</v>
      </c>
      <c r="Q86" s="473" t="str">
        <f>IF(OR(O86="",P86=""),"! Worst and best values not specified. The tool will not consider this indicator",IF(P86&lt;O86,"! Best value cannot be lower than worst value.The tool will not consider this indicator",IF(AND(G86="",OR(O86&lt;&gt;"",P86&lt;&gt;"")),"! No current value. The tool will not consider this indicator",IF(OR(AND(O86&gt;G86,G86&lt;&gt;""),AND(O86&gt;H86,H86&lt;&gt;""),AND(O86&gt;I86,I86&lt;&gt;""),AND(O86&gt;J86,I86&lt;&gt;""),AND(O86&gt;K86,K86&lt;&gt;""),AND(O86&gt;L86,L86&lt;&gt;"")),"! Worst value cannot be higher than values for options.The tool will not consider this indicator",IF(OR(AND(P86&lt;G86,G86&lt;&gt;""),AND(P86&lt;H86,H86&lt;&gt;""),AND(P86&lt;I86,I86&lt;&gt;""),AND(P86&lt;J86,J86&lt;&gt;""),AND(P86&lt;K86,K86&lt;&gt;""),AND(P86&lt;L86,L86&lt;&gt;"")),"! Best value cannot be lower than values for options. The tool will not consider this indicator","")))))</f>
        <v>! No current value. The tool will not consider this indicator</v>
      </c>
      <c r="R86" s="170"/>
      <c r="S86" s="170"/>
      <c r="T86" s="170"/>
      <c r="U86" s="170"/>
      <c r="V86" s="170"/>
      <c r="W86" s="170"/>
      <c r="X86" s="170"/>
      <c r="Y86" s="170"/>
      <c r="Z86" s="31"/>
      <c r="AA86" s="29"/>
      <c r="AB86" s="29"/>
      <c r="AC86" s="29"/>
      <c r="AD86" s="29"/>
    </row>
    <row r="87" spans="2:30" ht="15" customHeight="1">
      <c r="B87" s="33"/>
      <c r="C87" s="59"/>
      <c r="D87" s="85" t="str">
        <f>PTAout!D107</f>
        <v>Quality</v>
      </c>
      <c r="E87" s="60"/>
      <c r="F87" s="294" t="str">
        <f>PTAout!F107</f>
        <v/>
      </c>
      <c r="G87" s="302" t="str">
        <f>PTAout!H107</f>
        <v/>
      </c>
      <c r="H87" s="302" t="str">
        <f>PTAout!L107</f>
        <v/>
      </c>
      <c r="I87" s="302" t="str">
        <f>PTAout!Q107</f>
        <v/>
      </c>
      <c r="J87" s="302" t="str">
        <f>PTAout!V107</f>
        <v/>
      </c>
      <c r="K87" s="302" t="str">
        <f>PTAout!AA107</f>
        <v/>
      </c>
      <c r="L87" s="302" t="str">
        <f>PTAout!AF107</f>
        <v/>
      </c>
      <c r="M87" s="45"/>
      <c r="N87" s="919" t="s">
        <v>743</v>
      </c>
      <c r="O87" s="299">
        <v>5</v>
      </c>
      <c r="P87" s="299">
        <v>0</v>
      </c>
      <c r="Q87" s="478" t="str">
        <f>IF(OR(O87="",P87=""),"! Worst and best values not specified. The tool will not consider this indicator",IF(P87&gt;O87,"! Best value cannot be higher than worst value. The tool will not consider this indicator",IF(AND(G87="",OR(O87&lt;&gt;"",P87&lt;&gt;"")),"! No current value. The tool will not consider this indicator",IF(OR(AND(O87&lt;G87,G87&lt;&gt;""),AND(O87&lt;H87,H87&lt;&gt;""),AND(O87&lt;I87,I87&lt;&gt;""),AND(O87&lt;J87,J87&lt;&gt;""),AND(O87&lt;K87,K87&lt;&gt;""),AND(O87&lt;L87,L87&lt;&gt;"")),"! Worst value cannot be lower than values for options.The tool will not consider this indicator",IF(OR(AND(P87&gt;G87,G87&lt;&gt;""),AND(P87&gt;H87,H87&lt;&gt;""),AND(P87&gt;I87,I87&lt;&gt;""),AND(P87&gt;J87,J87&lt;&gt;""),AND(P87&gt;K87,K87&lt;&gt;""),AND(P87&gt;L87,L87&lt;&gt;"")),"! Best value cannot be higher than values for options.The tool will not consider this indicator","")))))</f>
        <v>! No current value. The tool will not consider this indicator</v>
      </c>
      <c r="R87" s="170"/>
      <c r="S87" s="170"/>
      <c r="T87" s="170"/>
      <c r="U87" s="170"/>
      <c r="V87" s="170"/>
      <c r="W87" s="170"/>
      <c r="X87" s="170"/>
      <c r="Y87" s="170"/>
      <c r="Z87" s="31"/>
      <c r="AA87" s="29"/>
      <c r="AB87" s="29"/>
      <c r="AC87" s="29"/>
      <c r="AD87" s="29"/>
    </row>
    <row r="88" spans="2:30" ht="15" customHeight="1">
      <c r="B88" s="33"/>
      <c r="C88" s="293" t="str">
        <f>PTAout!C108</f>
        <v>Cycle parking (dock)</v>
      </c>
      <c r="D88" s="47"/>
      <c r="E88" s="27"/>
      <c r="F88" s="370"/>
      <c r="G88" s="296"/>
      <c r="H88" s="296"/>
      <c r="I88" s="296"/>
      <c r="J88" s="296"/>
      <c r="K88" s="296"/>
      <c r="L88" s="296"/>
      <c r="M88" s="45"/>
      <c r="N88" s="178"/>
      <c r="O88" s="177"/>
      <c r="P88" s="177"/>
      <c r="Q88" s="477"/>
      <c r="R88" s="177"/>
      <c r="S88" s="177"/>
      <c r="T88" s="177"/>
      <c r="U88" s="177"/>
      <c r="V88" s="177"/>
      <c r="W88" s="177"/>
      <c r="X88" s="177"/>
      <c r="Y88" s="177"/>
      <c r="Z88" s="31"/>
      <c r="AA88" s="29"/>
      <c r="AB88" s="29"/>
      <c r="AC88" s="29"/>
      <c r="AD88" s="29"/>
    </row>
    <row r="89" spans="2:30" ht="15" customHeight="1">
      <c r="B89" s="33"/>
      <c r="C89" s="29"/>
      <c r="D89" s="47" t="str">
        <f>PTAout!D109</f>
        <v>Space</v>
      </c>
      <c r="E89" s="27"/>
      <c r="F89" s="190" t="str">
        <f>PTAout!F109</f>
        <v>Number of spaces</v>
      </c>
      <c r="G89" s="270" t="str">
        <f>PTAout!H109</f>
        <v/>
      </c>
      <c r="H89" s="270" t="str">
        <f>PTAout!L109</f>
        <v/>
      </c>
      <c r="I89" s="270" t="str">
        <f>PTAout!Q109</f>
        <v/>
      </c>
      <c r="J89" s="270" t="str">
        <f>PTAout!V109</f>
        <v/>
      </c>
      <c r="K89" s="270" t="str">
        <f>PTAout!AA109</f>
        <v/>
      </c>
      <c r="L89" s="270" t="str">
        <f>PTAout!AF109</f>
        <v/>
      </c>
      <c r="M89" s="928"/>
      <c r="N89" s="919" t="s">
        <v>744</v>
      </c>
      <c r="O89" s="211">
        <v>0</v>
      </c>
      <c r="P89" s="112">
        <v>10</v>
      </c>
      <c r="Q89" s="473" t="str">
        <f>IF(OR(O89="",P89=""),"! Worst and best values not specified. The tool will not consider this indicator",IF(P89&lt;O89,"! Best value cannot be lower than worst value.The tool will not consider this indicator",IF(AND(G89="",OR(O89&lt;&gt;"",P89&lt;&gt;"")),"! No current value. The tool will not consider this indicator",IF(OR(AND(O89&gt;G89,G89&lt;&gt;""),AND(O89&gt;H89,H89&lt;&gt;""),AND(O89&gt;I89,I89&lt;&gt;""),AND(O89&gt;J89,I89&lt;&gt;""),AND(O89&gt;K89,K89&lt;&gt;""),AND(O89&gt;L89,L89&lt;&gt;"")),"! Worst value cannot be higher than values for options.The tool will not consider this indicator",IF(OR(AND(P89&lt;G89,G89&lt;&gt;""),AND(P89&lt;H89,H89&lt;&gt;""),AND(P89&lt;I89,I89&lt;&gt;""),AND(P89&lt;J89,J89&lt;&gt;""),AND(P89&lt;K89,K89&lt;&gt;""),AND(P89&lt;L89,L89&lt;&gt;"")),"! Best value cannot be lower than values for options. The tool will not consider this indicator","")))))</f>
        <v>! No current value. The tool will not consider this indicator</v>
      </c>
      <c r="R89" s="170"/>
      <c r="S89" s="170"/>
      <c r="T89" s="170"/>
      <c r="U89" s="170"/>
      <c r="V89" s="170"/>
      <c r="W89" s="170"/>
      <c r="X89" s="170"/>
      <c r="Y89" s="170"/>
      <c r="Z89" s="31"/>
      <c r="AA89" s="29"/>
      <c r="AB89" s="29"/>
      <c r="AC89" s="29"/>
      <c r="AD89" s="29"/>
    </row>
    <row r="90" spans="2:30" ht="15" customHeight="1">
      <c r="B90" s="33"/>
      <c r="C90" s="29"/>
      <c r="D90" s="47" t="str">
        <f>PTAout!D110</f>
        <v>Number of activities</v>
      </c>
      <c r="E90" s="27"/>
      <c r="F90" s="190" t="str">
        <f>PTAout!F110</f>
        <v/>
      </c>
      <c r="G90" s="270" t="str">
        <f>PTAout!H110</f>
        <v/>
      </c>
      <c r="H90" s="270" t="str">
        <f>PTAout!L110</f>
        <v/>
      </c>
      <c r="I90" s="270" t="str">
        <f>PTAout!Q110</f>
        <v/>
      </c>
      <c r="J90" s="270" t="str">
        <f>PTAout!V110</f>
        <v/>
      </c>
      <c r="K90" s="270" t="str">
        <f>PTAout!AA110</f>
        <v/>
      </c>
      <c r="L90" s="270" t="str">
        <f>PTAout!AF110</f>
        <v/>
      </c>
      <c r="M90" s="45"/>
      <c r="N90" s="919" t="s">
        <v>744</v>
      </c>
      <c r="O90" s="113"/>
      <c r="P90" s="113"/>
      <c r="Q90" s="473" t="str">
        <f>IF(OR(O90="",P90=""),"! Worst and best values not specified. The tool will not consider this indicator",IF(P90&lt;O90,"! Best value cannot be lower than worst value.The tool will not consider this indicator",IF(AND(G90="",OR(O90&lt;&gt;"",P90&lt;&gt;"")),"! No current value. The tool will not consider this indicator",IF(OR(AND(O90&gt;G90,G90&lt;&gt;""),AND(O90&gt;H90,H90&lt;&gt;""),AND(O90&gt;I90,I90&lt;&gt;""),AND(O90&gt;J90,I90&lt;&gt;""),AND(O90&gt;K90,K90&lt;&gt;""),AND(O90&gt;L90,L90&lt;&gt;"")),"! Worst value cannot be higher than values for options.The tool will not consider this indicator",IF(OR(AND(P90&lt;G90,G90&lt;&gt;""),AND(P90&lt;H90,H90&lt;&gt;""),AND(P90&lt;I90,I90&lt;&gt;""),AND(P90&lt;J90,J90&lt;&gt;""),AND(P90&lt;K90,K90&lt;&gt;""),AND(P90&lt;L90,L90&lt;&gt;"")),"! Best value cannot be lower than values for options. The tool will not consider this indicator","")))))</f>
        <v>! Worst and best values not specified. The tool will not consider this indicator</v>
      </c>
      <c r="R90" s="170"/>
      <c r="S90" s="170"/>
      <c r="T90" s="170"/>
      <c r="U90" s="170"/>
      <c r="V90" s="170"/>
      <c r="W90" s="170"/>
      <c r="X90" s="170"/>
      <c r="Y90" s="170"/>
      <c r="Z90" s="31"/>
      <c r="AA90" s="29"/>
      <c r="AB90" s="29"/>
      <c r="AC90" s="29"/>
      <c r="AD90" s="29"/>
    </row>
    <row r="91" spans="2:30" ht="15" customHeight="1">
      <c r="B91" s="33"/>
      <c r="C91" s="29"/>
      <c r="D91" s="47" t="str">
        <f>PTAout!D111</f>
        <v>Duration</v>
      </c>
      <c r="E91" s="27"/>
      <c r="F91" s="190" t="str">
        <f>PTAout!F111</f>
        <v/>
      </c>
      <c r="G91" s="270" t="str">
        <f>PTAout!H111</f>
        <v/>
      </c>
      <c r="H91" s="270" t="str">
        <f>PTAout!L111</f>
        <v/>
      </c>
      <c r="I91" s="270" t="str">
        <f>PTAout!Q111</f>
        <v/>
      </c>
      <c r="J91" s="270" t="str">
        <f>PTAout!V111</f>
        <v/>
      </c>
      <c r="K91" s="270" t="str">
        <f>PTAout!AA111</f>
        <v/>
      </c>
      <c r="L91" s="270" t="str">
        <f>PTAout!AF111</f>
        <v/>
      </c>
      <c r="M91" s="45"/>
      <c r="N91" s="919" t="s">
        <v>744</v>
      </c>
      <c r="O91" s="113"/>
      <c r="P91" s="113"/>
      <c r="Q91" s="473" t="str">
        <f>IF(OR(O91="",P91=""),"! Worst and best values not specified. The tool will not consider this indicator",IF(P91&lt;O91,"! Best value cannot be lower than worst value.The tool will not consider this indicator",IF(AND(G91="",OR(O91&lt;&gt;"",P91&lt;&gt;"")),"! No current value. The tool will not consider this indicator",IF(OR(AND(O91&gt;G91,G91&lt;&gt;""),AND(O91&gt;H91,H91&lt;&gt;""),AND(O91&gt;I91,I91&lt;&gt;""),AND(O91&gt;J91,I91&lt;&gt;""),AND(O91&gt;K91,K91&lt;&gt;""),AND(O91&gt;L91,L91&lt;&gt;"")),"! Worst value cannot be higher than values for options.The tool will not consider this indicator",IF(OR(AND(P91&lt;G91,G91&lt;&gt;""),AND(P91&lt;H91,H91&lt;&gt;""),AND(P91&lt;I91,I91&lt;&gt;""),AND(P91&lt;J91,J91&lt;&gt;""),AND(P91&lt;K91,K91&lt;&gt;""),AND(P91&lt;L91,L91&lt;&gt;"")),"! Best value cannot be lower than values for options. The tool will not consider this indicator","")))))</f>
        <v>! Worst and best values not specified. The tool will not consider this indicator</v>
      </c>
      <c r="R91" s="170"/>
      <c r="S91" s="170"/>
      <c r="T91" s="170"/>
      <c r="U91" s="170"/>
      <c r="V91" s="170"/>
      <c r="W91" s="170"/>
      <c r="X91" s="170"/>
      <c r="Y91" s="170"/>
      <c r="Z91" s="31"/>
      <c r="AA91" s="29"/>
      <c r="AB91" s="29"/>
      <c r="AC91" s="29"/>
      <c r="AD91" s="29"/>
    </row>
    <row r="92" spans="2:30" ht="15" customHeight="1">
      <c r="B92" s="33"/>
      <c r="C92" s="59"/>
      <c r="D92" s="85" t="str">
        <f>PTAout!D112</f>
        <v>Quality</v>
      </c>
      <c r="E92" s="60"/>
      <c r="F92" s="294" t="str">
        <f>PTAout!F112</f>
        <v/>
      </c>
      <c r="G92" s="295" t="str">
        <f>PTAout!H112</f>
        <v/>
      </c>
      <c r="H92" s="295" t="str">
        <f>PTAout!L112</f>
        <v/>
      </c>
      <c r="I92" s="295" t="str">
        <f>PTAout!Q112</f>
        <v/>
      </c>
      <c r="J92" s="295" t="str">
        <f>PTAout!V112</f>
        <v/>
      </c>
      <c r="K92" s="295" t="str">
        <f>PTAout!AA112</f>
        <v/>
      </c>
      <c r="L92" s="295" t="str">
        <f>PTAout!AF112</f>
        <v/>
      </c>
      <c r="M92" s="45"/>
      <c r="N92" s="919" t="s">
        <v>743</v>
      </c>
      <c r="O92" s="299">
        <v>1</v>
      </c>
      <c r="P92" s="299">
        <v>0</v>
      </c>
      <c r="Q92" s="478" t="str">
        <f>IF(OR(O92="",P92=""),"! Worst and best values not specified. The tool will not consider this indicator",IF(P92&gt;O92,"! Best value cannot be higher than worst value. The tool will not consider this indicator",IF(AND(G92="",OR(O92&lt;&gt;"",P92&lt;&gt;"")),"! No current value. The tool will not consider this indicator",IF(OR(AND(O92&lt;G92,G92&lt;&gt;""),AND(O92&lt;H92,H92&lt;&gt;""),AND(O92&lt;I92,I92&lt;&gt;""),AND(O92&lt;J92,J92&lt;&gt;""),AND(O92&lt;K92,K92&lt;&gt;""),AND(O92&lt;L92,L92&lt;&gt;"")),"! Worst value cannot be lower than values for options.The tool will not consider this indicator",IF(OR(AND(P92&gt;G92,G92&lt;&gt;""),AND(P92&gt;H92,H92&lt;&gt;""),AND(P92&gt;I92,I92&lt;&gt;""),AND(P92&gt;J92,J92&lt;&gt;""),AND(P92&gt;K92,K92&lt;&gt;""),AND(P92&gt;L92,L92&lt;&gt;"")),"! Best value cannot be higher than values for options.The tool will not consider this indicator","")))))</f>
        <v>! No current value. The tool will not consider this indicator</v>
      </c>
      <c r="R92" s="170"/>
      <c r="S92" s="170"/>
      <c r="T92" s="170"/>
      <c r="U92" s="170"/>
      <c r="V92" s="170"/>
      <c r="W92" s="170"/>
      <c r="X92" s="170"/>
      <c r="Y92" s="170"/>
      <c r="Z92" s="31"/>
      <c r="AA92" s="29"/>
      <c r="AB92" s="29"/>
      <c r="AC92" s="29"/>
      <c r="AD92" s="29"/>
    </row>
    <row r="93" spans="2:30" ht="15" customHeight="1">
      <c r="B93" s="33"/>
      <c r="C93" s="293" t="str">
        <f>PTAout!C113</f>
        <v>Cycle parking (dockless)</v>
      </c>
      <c r="D93" s="47"/>
      <c r="E93" s="27"/>
      <c r="F93" s="370"/>
      <c r="G93" s="296"/>
      <c r="H93" s="296"/>
      <c r="I93" s="296"/>
      <c r="J93" s="296"/>
      <c r="K93" s="296"/>
      <c r="L93" s="296"/>
      <c r="M93" s="45"/>
      <c r="N93" s="178"/>
      <c r="O93" s="177"/>
      <c r="P93" s="177"/>
      <c r="Q93" s="477"/>
      <c r="R93" s="177"/>
      <c r="S93" s="177"/>
      <c r="T93" s="177"/>
      <c r="U93" s="177"/>
      <c r="V93" s="177"/>
      <c r="W93" s="177"/>
      <c r="X93" s="177"/>
      <c r="Y93" s="177"/>
      <c r="Z93" s="31"/>
      <c r="AA93" s="29"/>
      <c r="AB93" s="29"/>
      <c r="AC93" s="29"/>
      <c r="AD93" s="29"/>
    </row>
    <row r="94" spans="2:30" ht="15" customHeight="1">
      <c r="B94" s="33"/>
      <c r="C94" s="29"/>
      <c r="D94" s="47" t="str">
        <f>PTAout!D114</f>
        <v>Space</v>
      </c>
      <c r="E94" s="27"/>
      <c r="F94" s="190" t="str">
        <f>PTAout!F114</f>
        <v>Number of spaces</v>
      </c>
      <c r="G94" s="270" t="str">
        <f>PTAout!H114</f>
        <v/>
      </c>
      <c r="H94" s="270" t="str">
        <f>PTAout!L114</f>
        <v/>
      </c>
      <c r="I94" s="270" t="str">
        <f>PTAout!Q114</f>
        <v/>
      </c>
      <c r="J94" s="270" t="str">
        <f>PTAout!V114</f>
        <v/>
      </c>
      <c r="K94" s="270" t="str">
        <f>PTAout!AA114</f>
        <v/>
      </c>
      <c r="L94" s="270" t="str">
        <f>PTAout!AF114</f>
        <v/>
      </c>
      <c r="M94" s="928"/>
      <c r="N94" s="919" t="s">
        <v>744</v>
      </c>
      <c r="O94" s="211">
        <v>0</v>
      </c>
      <c r="P94" s="112">
        <v>10</v>
      </c>
      <c r="Q94" s="473" t="str">
        <f>IF(OR(O94="",P94=""),"! Worst and best values not specified. The tool will not consider this indicator",IF(P94&lt;O94,"! Best value cannot be lower than worst value.The tool will not consider this indicator",IF(AND(G94="",OR(O94&lt;&gt;"",P94&lt;&gt;"")),"! No current value. The tool will not consider this indicator",IF(OR(AND(O94&gt;G94,G94&lt;&gt;""),AND(O94&gt;H94,H94&lt;&gt;""),AND(O94&gt;I94,I94&lt;&gt;""),AND(O94&gt;J94,I94&lt;&gt;""),AND(O94&gt;K94,K94&lt;&gt;""),AND(O94&gt;L94,L94&lt;&gt;"")),"! Worst value cannot be higher than values for options.The tool will not consider this indicator",IF(OR(AND(P94&lt;G94,G94&lt;&gt;""),AND(P94&lt;H94,H94&lt;&gt;""),AND(P94&lt;I94,I94&lt;&gt;""),AND(P94&lt;J94,J94&lt;&gt;""),AND(P94&lt;K94,K94&lt;&gt;""),AND(P94&lt;L94,L94&lt;&gt;"")),"! Best value cannot be lower than values for options. The tool will not consider this indicator","")))))</f>
        <v>! No current value. The tool will not consider this indicator</v>
      </c>
      <c r="R94" s="170"/>
      <c r="S94" s="170"/>
      <c r="T94" s="170"/>
      <c r="U94" s="170"/>
      <c r="V94" s="170"/>
      <c r="W94" s="170"/>
      <c r="X94" s="170"/>
      <c r="Y94" s="170"/>
      <c r="Z94" s="31"/>
      <c r="AA94" s="29"/>
      <c r="AB94" s="29"/>
      <c r="AC94" s="29"/>
      <c r="AD94" s="29"/>
    </row>
    <row r="95" spans="2:30" ht="15" customHeight="1">
      <c r="B95" s="33"/>
      <c r="C95" s="29"/>
      <c r="D95" s="47" t="str">
        <f>PTAout!D115</f>
        <v>Number of activities</v>
      </c>
      <c r="E95" s="27"/>
      <c r="F95" s="190" t="str">
        <f>PTAout!F115</f>
        <v/>
      </c>
      <c r="G95" s="270" t="str">
        <f>PTAout!H115</f>
        <v/>
      </c>
      <c r="H95" s="270" t="str">
        <f>PTAout!L115</f>
        <v/>
      </c>
      <c r="I95" s="270" t="str">
        <f>PTAout!Q115</f>
        <v/>
      </c>
      <c r="J95" s="270" t="str">
        <f>PTAout!V115</f>
        <v/>
      </c>
      <c r="K95" s="270" t="str">
        <f>PTAout!AA115</f>
        <v/>
      </c>
      <c r="L95" s="270" t="str">
        <f>PTAout!AF115</f>
        <v/>
      </c>
      <c r="M95" s="45"/>
      <c r="N95" s="919" t="s">
        <v>744</v>
      </c>
      <c r="O95" s="113"/>
      <c r="P95" s="113"/>
      <c r="Q95" s="473" t="str">
        <f>IF(OR(O95="",P95=""),"! Worst and best values not specified. The tool will not consider this indicator",IF(P95&lt;O95,"! Best value cannot be lower than worst value.The tool will not consider this indicator",IF(AND(G95="",OR(O95&lt;&gt;"",P95&lt;&gt;"")),"! No current value. The tool will not consider this indicator",IF(OR(AND(O95&gt;G95,G95&lt;&gt;""),AND(O95&gt;H95,H95&lt;&gt;""),AND(O95&gt;I95,I95&lt;&gt;""),AND(O95&gt;J95,I95&lt;&gt;""),AND(O95&gt;K95,K95&lt;&gt;""),AND(O95&gt;L95,L95&lt;&gt;"")),"! Worst value cannot be higher than values for options.The tool will not consider this indicator",IF(OR(AND(P95&lt;G95,G95&lt;&gt;""),AND(P95&lt;H95,H95&lt;&gt;""),AND(P95&lt;I95,I95&lt;&gt;""),AND(P95&lt;J95,J95&lt;&gt;""),AND(P95&lt;K95,K95&lt;&gt;""),AND(P95&lt;L95,L95&lt;&gt;"")),"! Best value cannot be lower than values for options. The tool will not consider this indicator","")))))</f>
        <v>! Worst and best values not specified. The tool will not consider this indicator</v>
      </c>
      <c r="R95" s="170"/>
      <c r="S95" s="170"/>
      <c r="T95" s="170"/>
      <c r="U95" s="170"/>
      <c r="V95" s="170"/>
      <c r="W95" s="170"/>
      <c r="X95" s="170"/>
      <c r="Y95" s="170"/>
      <c r="Z95" s="31"/>
      <c r="AA95" s="29"/>
      <c r="AB95" s="29"/>
      <c r="AC95" s="29"/>
      <c r="AD95" s="29"/>
    </row>
    <row r="96" spans="2:30" ht="15" customHeight="1">
      <c r="B96" s="33"/>
      <c r="C96" s="29"/>
      <c r="D96" s="47" t="str">
        <f>PTAout!D116</f>
        <v>Duration</v>
      </c>
      <c r="E96" s="27"/>
      <c r="F96" s="190" t="str">
        <f>PTAout!F116</f>
        <v/>
      </c>
      <c r="G96" s="270" t="str">
        <f>PTAout!H116</f>
        <v/>
      </c>
      <c r="H96" s="270" t="str">
        <f>PTAout!L116</f>
        <v/>
      </c>
      <c r="I96" s="270" t="str">
        <f>PTAout!Q116</f>
        <v/>
      </c>
      <c r="J96" s="270" t="str">
        <f>PTAout!V116</f>
        <v/>
      </c>
      <c r="K96" s="270" t="str">
        <f>PTAout!AA116</f>
        <v/>
      </c>
      <c r="L96" s="270" t="str">
        <f>PTAout!AF116</f>
        <v/>
      </c>
      <c r="M96" s="45"/>
      <c r="N96" s="919" t="s">
        <v>744</v>
      </c>
      <c r="O96" s="113"/>
      <c r="P96" s="113"/>
      <c r="Q96" s="473" t="str">
        <f>IF(OR(O96="",P96=""),"! Worst and best values not specified. The tool will not consider this indicator",IF(P96&lt;O96,"! Best value cannot be lower than worst value.The tool will not consider this indicator",IF(AND(G96="",OR(O96&lt;&gt;"",P96&lt;&gt;"")),"! No current value. The tool will not consider this indicator",IF(OR(AND(O96&gt;G96,G96&lt;&gt;""),AND(O96&gt;H96,H96&lt;&gt;""),AND(O96&gt;I96,I96&lt;&gt;""),AND(O96&gt;J96,I96&lt;&gt;""),AND(O96&gt;K96,K96&lt;&gt;""),AND(O96&gt;L96,L96&lt;&gt;"")),"! Worst value cannot be higher than values for options.The tool will not consider this indicator",IF(OR(AND(P96&lt;G96,G96&lt;&gt;""),AND(P96&lt;H96,H96&lt;&gt;""),AND(P96&lt;I96,I96&lt;&gt;""),AND(P96&lt;J96,J96&lt;&gt;""),AND(P96&lt;K96,K96&lt;&gt;""),AND(P96&lt;L96,L96&lt;&gt;"")),"! Best value cannot be lower than values for options. The tool will not consider this indicator","")))))</f>
        <v>! Worst and best values not specified. The tool will not consider this indicator</v>
      </c>
      <c r="R96" s="170"/>
      <c r="S96" s="170"/>
      <c r="T96" s="170"/>
      <c r="U96" s="170"/>
      <c r="V96" s="170"/>
      <c r="W96" s="170"/>
      <c r="X96" s="170"/>
      <c r="Y96" s="170"/>
      <c r="Z96" s="31"/>
      <c r="AA96" s="29"/>
      <c r="AB96" s="29"/>
      <c r="AC96" s="29"/>
      <c r="AD96" s="29"/>
    </row>
    <row r="97" spans="2:30" ht="15" customHeight="1">
      <c r="B97" s="33"/>
      <c r="C97" s="59"/>
      <c r="D97" s="85" t="str">
        <f>PTAout!D117</f>
        <v>Quality</v>
      </c>
      <c r="E97" s="60"/>
      <c r="F97" s="294" t="str">
        <f>PTAout!F117</f>
        <v/>
      </c>
      <c r="G97" s="295" t="str">
        <f>PTAout!H117</f>
        <v/>
      </c>
      <c r="H97" s="295" t="str">
        <f>PTAout!L117</f>
        <v/>
      </c>
      <c r="I97" s="295" t="str">
        <f>PTAout!Q117</f>
        <v/>
      </c>
      <c r="J97" s="295" t="str">
        <f>PTAout!V117</f>
        <v/>
      </c>
      <c r="K97" s="295" t="str">
        <f>PTAout!AA117</f>
        <v/>
      </c>
      <c r="L97" s="295" t="str">
        <f>PTAout!AF117</f>
        <v/>
      </c>
      <c r="M97" s="45"/>
      <c r="N97" s="919" t="s">
        <v>743</v>
      </c>
      <c r="O97" s="299"/>
      <c r="P97" s="299"/>
      <c r="Q97" s="478" t="str">
        <f>IF(OR(O97="",P97=""),"! Worst and best values not specified. The tool will not consider this indicator",IF(P97&gt;O97,"! Best value cannot be higher than worst value. The tool will not consider this indicator",IF(AND(G97="",OR(O97&lt;&gt;"",P97&lt;&gt;"")),"! No current value. The tool will not consider this indicator",IF(OR(AND(O97&lt;G97,G97&lt;&gt;""),AND(O97&lt;H97,H97&lt;&gt;""),AND(O97&lt;I97,I97&lt;&gt;""),AND(O97&lt;J97,J97&lt;&gt;""),AND(O97&lt;K97,K97&lt;&gt;""),AND(O97&lt;L97,L97&lt;&gt;"")),"! Worst value cannot be lower than values for options.The tool will not consider this indicator",IF(OR(AND(P97&gt;G97,G97&lt;&gt;""),AND(P97&gt;H97,H97&lt;&gt;""),AND(P97&gt;I97,I97&lt;&gt;""),AND(P97&gt;J97,J97&lt;&gt;""),AND(P97&gt;K97,K97&lt;&gt;""),AND(P97&gt;L97,L97&lt;&gt;"")),"! Best value cannot be higher than values for options.The tool will not consider this indicator","")))))</f>
        <v>! Worst and best values not specified. The tool will not consider this indicator</v>
      </c>
      <c r="R97" s="170"/>
      <c r="S97" s="170"/>
      <c r="T97" s="170"/>
      <c r="U97" s="170"/>
      <c r="V97" s="170"/>
      <c r="W97" s="170"/>
      <c r="X97" s="170"/>
      <c r="Y97" s="170"/>
      <c r="Z97" s="31"/>
      <c r="AA97" s="29"/>
      <c r="AB97" s="29"/>
      <c r="AC97" s="29"/>
      <c r="AD97" s="29"/>
    </row>
    <row r="98" spans="2:30" ht="15" customHeight="1">
      <c r="B98" s="33"/>
      <c r="C98" s="293" t="str">
        <f>PTAout!C118</f>
        <v>Car parking</v>
      </c>
      <c r="D98" s="47"/>
      <c r="E98" s="27"/>
      <c r="F98" s="370"/>
      <c r="G98" s="296"/>
      <c r="H98" s="296"/>
      <c r="I98" s="296"/>
      <c r="J98" s="296"/>
      <c r="K98" s="296"/>
      <c r="L98" s="296"/>
      <c r="M98" s="45"/>
      <c r="N98" s="178"/>
      <c r="O98" s="177"/>
      <c r="P98" s="177"/>
      <c r="Q98" s="477"/>
      <c r="R98" s="177"/>
      <c r="S98" s="177"/>
      <c r="T98" s="177"/>
      <c r="U98" s="177"/>
      <c r="V98" s="177"/>
      <c r="W98" s="177"/>
      <c r="X98" s="177"/>
      <c r="Y98" s="177"/>
      <c r="Z98" s="31"/>
      <c r="AA98" s="29"/>
      <c r="AB98" s="29"/>
      <c r="AC98" s="29"/>
      <c r="AD98" s="29"/>
    </row>
    <row r="99" spans="2:30" ht="15" customHeight="1">
      <c r="B99" s="33"/>
      <c r="C99" s="29"/>
      <c r="D99" s="47" t="str">
        <f>PTAout!D119</f>
        <v>Space</v>
      </c>
      <c r="E99" s="27"/>
      <c r="F99" s="190" t="str">
        <f>PTAout!F119</f>
        <v>Width available</v>
      </c>
      <c r="G99" s="270" t="str">
        <f>PTAout!H119</f>
        <v/>
      </c>
      <c r="H99" s="270" t="str">
        <f>PTAout!L119</f>
        <v/>
      </c>
      <c r="I99" s="270" t="str">
        <f>PTAout!Q119</f>
        <v/>
      </c>
      <c r="J99" s="270" t="str">
        <f>PTAout!V119</f>
        <v/>
      </c>
      <c r="K99" s="270" t="str">
        <f>PTAout!AA119</f>
        <v/>
      </c>
      <c r="L99" s="270" t="str">
        <f>PTAout!AF119</f>
        <v/>
      </c>
      <c r="M99" s="928"/>
      <c r="N99" s="919" t="s">
        <v>744</v>
      </c>
      <c r="O99" s="211">
        <v>0</v>
      </c>
      <c r="P99" s="112">
        <v>10</v>
      </c>
      <c r="Q99" s="473" t="str">
        <f>IF(OR(O99="",P99=""),"! Worst and best values not specified. The tool will not consider this indicator",IF(P99&lt;O99,"! Best value cannot be lower than worst value.The tool will not consider this indicator",IF(AND(G99="",OR(O99&lt;&gt;"",P99&lt;&gt;"")),"! No current value. The tool will not consider this indicator",IF(OR(AND(O99&gt;G99,G99&lt;&gt;""),AND(O99&gt;H99,H99&lt;&gt;""),AND(O99&gt;I99,I99&lt;&gt;""),AND(O99&gt;J99,I99&lt;&gt;""),AND(O99&gt;K99,K99&lt;&gt;""),AND(O99&gt;L99,L99&lt;&gt;"")),"! Worst value cannot be higher than values for options.The tool will not consider this indicator",IF(OR(AND(P99&lt;G99,G99&lt;&gt;""),AND(P99&lt;H99,H99&lt;&gt;""),AND(P99&lt;I99,I99&lt;&gt;""),AND(P99&lt;J99,J99&lt;&gt;""),AND(P99&lt;K99,K99&lt;&gt;""),AND(P99&lt;L99,L99&lt;&gt;"")),"! Best value cannot be lower than values for options. The tool will not consider this indicator","")))))</f>
        <v>! No current value. The tool will not consider this indicator</v>
      </c>
      <c r="R99" s="170"/>
      <c r="S99" s="170"/>
      <c r="T99" s="170"/>
      <c r="U99" s="170"/>
      <c r="V99" s="170"/>
      <c r="W99" s="170"/>
      <c r="X99" s="170"/>
      <c r="Y99" s="170"/>
      <c r="Z99" s="31"/>
      <c r="AA99" s="29"/>
      <c r="AB99" s="29"/>
      <c r="AC99" s="29"/>
      <c r="AD99" s="29"/>
    </row>
    <row r="100" spans="2:30" ht="15" customHeight="1">
      <c r="B100" s="33"/>
      <c r="C100" s="29"/>
      <c r="D100" s="47" t="str">
        <f>PTAout!D120</f>
        <v>Number of activities</v>
      </c>
      <c r="E100" s="27"/>
      <c r="F100" s="190" t="str">
        <f>PTAout!F120</f>
        <v/>
      </c>
      <c r="G100" s="270" t="str">
        <f>PTAout!H120</f>
        <v/>
      </c>
      <c r="H100" s="270" t="str">
        <f>PTAout!L120</f>
        <v/>
      </c>
      <c r="I100" s="270" t="str">
        <f>PTAout!Q120</f>
        <v/>
      </c>
      <c r="J100" s="270" t="str">
        <f>PTAout!V120</f>
        <v/>
      </c>
      <c r="K100" s="270" t="str">
        <f>PTAout!AA120</f>
        <v/>
      </c>
      <c r="L100" s="270" t="str">
        <f>PTAout!AF120</f>
        <v/>
      </c>
      <c r="M100" s="45"/>
      <c r="N100" s="919" t="s">
        <v>744</v>
      </c>
      <c r="O100" s="113"/>
      <c r="P100" s="113"/>
      <c r="Q100" s="473" t="str">
        <f>IF(OR(O100="",P100=""),"! Worst and best values not specified. The tool will not consider this indicator",IF(P100&lt;O100,"! Best value cannot be lower than worst value.The tool will not consider this indicator",IF(AND(G100="",OR(O100&lt;&gt;"",P100&lt;&gt;"")),"! No current value. The tool will not consider this indicator",IF(OR(AND(O100&gt;G100,G100&lt;&gt;""),AND(O100&gt;H100,H100&lt;&gt;""),AND(O100&gt;I100,I100&lt;&gt;""),AND(O100&gt;J100,I100&lt;&gt;""),AND(O100&gt;K100,K100&lt;&gt;""),AND(O100&gt;L100,L100&lt;&gt;"")),"! Worst value cannot be higher than values for options.The tool will not consider this indicator",IF(OR(AND(P100&lt;G100,G100&lt;&gt;""),AND(P100&lt;H100,H100&lt;&gt;""),AND(P100&lt;I100,I100&lt;&gt;""),AND(P100&lt;J100,J100&lt;&gt;""),AND(P100&lt;K100,K100&lt;&gt;""),AND(P100&lt;L100,L100&lt;&gt;"")),"! Best value cannot be lower than values for options. The tool will not consider this indicator","")))))</f>
        <v>! Worst and best values not specified. The tool will not consider this indicator</v>
      </c>
      <c r="R100" s="170"/>
      <c r="S100" s="170"/>
      <c r="T100" s="170"/>
      <c r="U100" s="170"/>
      <c r="V100" s="170"/>
      <c r="W100" s="170"/>
      <c r="X100" s="170"/>
      <c r="Y100" s="170"/>
      <c r="Z100" s="31"/>
      <c r="AA100" s="29"/>
      <c r="AB100" s="29"/>
      <c r="AC100" s="29"/>
      <c r="AD100" s="29"/>
    </row>
    <row r="101" spans="2:30" ht="15" customHeight="1">
      <c r="B101" s="33"/>
      <c r="C101" s="29"/>
      <c r="D101" s="47" t="str">
        <f>PTAout!D121</f>
        <v>Duration</v>
      </c>
      <c r="E101" s="27"/>
      <c r="F101" s="190" t="str">
        <f>PTAout!F121</f>
        <v/>
      </c>
      <c r="G101" s="270" t="str">
        <f>PTAout!H121</f>
        <v/>
      </c>
      <c r="H101" s="270" t="str">
        <f>PTAout!L121</f>
        <v/>
      </c>
      <c r="I101" s="270" t="str">
        <f>PTAout!Q121</f>
        <v/>
      </c>
      <c r="J101" s="270" t="str">
        <f>PTAout!V121</f>
        <v/>
      </c>
      <c r="K101" s="270" t="str">
        <f>PTAout!AA121</f>
        <v/>
      </c>
      <c r="L101" s="270" t="str">
        <f>PTAout!AF121</f>
        <v/>
      </c>
      <c r="M101" s="45"/>
      <c r="N101" s="919" t="s">
        <v>744</v>
      </c>
      <c r="O101" s="113"/>
      <c r="P101" s="113"/>
      <c r="Q101" s="473" t="str">
        <f>IF(OR(O101="",P101=""),"! Worst and best values not specified. The tool will not consider this indicator",IF(P101&lt;O101,"! Best value cannot be lower than worst value.The tool will not consider this indicator",IF(AND(G101="",OR(O101&lt;&gt;"",P101&lt;&gt;"")),"! No current value. The tool will not consider this indicator",IF(OR(AND(O101&gt;G101,G101&lt;&gt;""),AND(O101&gt;H101,H101&lt;&gt;""),AND(O101&gt;I101,I101&lt;&gt;""),AND(O101&gt;J101,I101&lt;&gt;""),AND(O101&gt;K101,K101&lt;&gt;""),AND(O101&gt;L101,L101&lt;&gt;"")),"! Worst value cannot be higher than values for options.The tool will not consider this indicator",IF(OR(AND(P101&lt;G101,G101&lt;&gt;""),AND(P101&lt;H101,H101&lt;&gt;""),AND(P101&lt;I101,I101&lt;&gt;""),AND(P101&lt;J101,J101&lt;&gt;""),AND(P101&lt;K101,K101&lt;&gt;""),AND(P101&lt;L101,L101&lt;&gt;"")),"! Best value cannot be lower than values for options. The tool will not consider this indicator","")))))</f>
        <v>! Worst and best values not specified. The tool will not consider this indicator</v>
      </c>
      <c r="R101" s="170"/>
      <c r="S101" s="170"/>
      <c r="T101" s="170"/>
      <c r="U101" s="170"/>
      <c r="V101" s="170"/>
      <c r="W101" s="170"/>
      <c r="X101" s="170"/>
      <c r="Y101" s="170"/>
      <c r="Z101" s="31"/>
      <c r="AA101" s="29"/>
      <c r="AB101" s="29"/>
      <c r="AC101" s="29"/>
      <c r="AD101" s="29"/>
    </row>
    <row r="102" spans="2:30" ht="15" customHeight="1">
      <c r="B102" s="33"/>
      <c r="C102" s="59"/>
      <c r="D102" s="85" t="str">
        <f>PTAout!D122</f>
        <v>Quality</v>
      </c>
      <c r="E102" s="60"/>
      <c r="F102" s="294" t="str">
        <f>PTAout!F122</f>
        <v/>
      </c>
      <c r="G102" s="295" t="str">
        <f>PTAout!H122</f>
        <v/>
      </c>
      <c r="H102" s="295" t="str">
        <f>PTAout!L122</f>
        <v/>
      </c>
      <c r="I102" s="295" t="str">
        <f>PTAout!Q122</f>
        <v/>
      </c>
      <c r="J102" s="295" t="str">
        <f>PTAout!V122</f>
        <v/>
      </c>
      <c r="K102" s="295" t="str">
        <f>PTAout!AA122</f>
        <v/>
      </c>
      <c r="L102" s="295" t="str">
        <f>PTAout!AF122</f>
        <v/>
      </c>
      <c r="M102" s="45"/>
      <c r="N102" s="919" t="s">
        <v>743</v>
      </c>
      <c r="O102" s="299">
        <v>100</v>
      </c>
      <c r="P102" s="299">
        <v>0</v>
      </c>
      <c r="Q102" s="478" t="str">
        <f>IF(OR(O102="",P102=""),"! Worst and best values not specified. The tool will not consider this indicator",IF(P102&gt;O102,"! Best value cannot be higher than worst value. The tool will not consider this indicator",IF(AND(G102="",OR(O102&lt;&gt;"",P102&lt;&gt;"")),"! No current value. The tool will not consider this indicator",IF(OR(AND(O102&lt;G102,G102&lt;&gt;""),AND(O102&lt;H102,H102&lt;&gt;""),AND(O102&lt;I102,I102&lt;&gt;""),AND(O102&lt;J102,J102&lt;&gt;""),AND(O102&lt;K102,K102&lt;&gt;""),AND(O102&lt;L102,L102&lt;&gt;"")),"! Worst value cannot be lower than values for options.The tool will not consider this indicator",IF(OR(AND(P102&gt;G102,G102&lt;&gt;""),AND(P102&gt;H102,H102&lt;&gt;""),AND(P102&gt;I102,I102&lt;&gt;""),AND(P102&gt;J102,J102&lt;&gt;""),AND(P102&gt;K102,K102&lt;&gt;""),AND(P102&gt;L102,L102&lt;&gt;"")),"! Best value cannot be higher than values for options.The tool will not consider this indicator","")))))</f>
        <v>! No current value. The tool will not consider this indicator</v>
      </c>
      <c r="R102" s="170"/>
      <c r="S102" s="170"/>
      <c r="T102" s="170"/>
      <c r="U102" s="170"/>
      <c r="V102" s="170"/>
      <c r="W102" s="170"/>
      <c r="X102" s="170"/>
      <c r="Y102" s="170"/>
      <c r="Z102" s="31"/>
      <c r="AA102" s="29"/>
      <c r="AB102" s="29"/>
      <c r="AC102" s="29"/>
      <c r="AD102" s="29"/>
    </row>
    <row r="103" spans="2:30" ht="15" customHeight="1">
      <c r="B103" s="33"/>
      <c r="C103" s="293" t="str">
        <f>PTAout!C123</f>
        <v>Car/taxi stopping</v>
      </c>
      <c r="D103" s="47"/>
      <c r="E103" s="27"/>
      <c r="F103" s="370"/>
      <c r="G103" s="296"/>
      <c r="H103" s="296"/>
      <c r="I103" s="296"/>
      <c r="J103" s="296"/>
      <c r="K103" s="296"/>
      <c r="L103" s="296"/>
      <c r="M103" s="45"/>
      <c r="N103" s="178"/>
      <c r="O103" s="177"/>
      <c r="P103" s="177"/>
      <c r="Q103" s="477"/>
      <c r="R103" s="177"/>
      <c r="S103" s="177"/>
      <c r="T103" s="177"/>
      <c r="U103" s="177"/>
      <c r="V103" s="177"/>
      <c r="W103" s="177"/>
      <c r="X103" s="177"/>
      <c r="Y103" s="177"/>
      <c r="Z103" s="31"/>
      <c r="AA103" s="29"/>
      <c r="AB103" s="29"/>
      <c r="AC103" s="29"/>
      <c r="AD103" s="29"/>
    </row>
    <row r="104" spans="2:30" ht="15" customHeight="1">
      <c r="B104" s="33"/>
      <c r="C104" s="29"/>
      <c r="D104" s="47" t="str">
        <f>PTAout!D124</f>
        <v>Space</v>
      </c>
      <c r="E104" s="27"/>
      <c r="F104" s="190" t="str">
        <f>PTAout!F124</f>
        <v>Width available</v>
      </c>
      <c r="G104" s="270" t="str">
        <f>PTAout!H124</f>
        <v/>
      </c>
      <c r="H104" s="270" t="str">
        <f>PTAout!L124</f>
        <v/>
      </c>
      <c r="I104" s="270" t="str">
        <f>PTAout!Q124</f>
        <v/>
      </c>
      <c r="J104" s="270" t="str">
        <f>PTAout!V124</f>
        <v/>
      </c>
      <c r="K104" s="270" t="str">
        <f>PTAout!AA124</f>
        <v/>
      </c>
      <c r="L104" s="270" t="str">
        <f>PTAout!AF124</f>
        <v/>
      </c>
      <c r="M104" s="928"/>
      <c r="N104" s="919" t="s">
        <v>744</v>
      </c>
      <c r="O104" s="211">
        <v>0</v>
      </c>
      <c r="P104" s="112">
        <v>4</v>
      </c>
      <c r="Q104" s="473" t="str">
        <f>IF(OR(O104="",P104=""),"! Worst and best values not specified. The tool will not consider this indicator",IF(P104&lt;O104,"! Best value cannot be lower than worst value.The tool will not consider this indicator",IF(AND(G104="",OR(O104&lt;&gt;"",P104&lt;&gt;"")),"! No current value. The tool will not consider this indicator",IF(OR(AND(O104&gt;G104,G104&lt;&gt;""),AND(O104&gt;H104,H104&lt;&gt;""),AND(O104&gt;I104,I104&lt;&gt;""),AND(O104&gt;J104,I104&lt;&gt;""),AND(O104&gt;K104,K104&lt;&gt;""),AND(O104&gt;L104,L104&lt;&gt;"")),"! Worst value cannot be higher than values for options.The tool will not consider this indicator",IF(OR(AND(P104&lt;G104,G104&lt;&gt;""),AND(P104&lt;H104,H104&lt;&gt;""),AND(P104&lt;I104,I104&lt;&gt;""),AND(P104&lt;J104,J104&lt;&gt;""),AND(P104&lt;K104,K104&lt;&gt;""),AND(P104&lt;L104,L104&lt;&gt;"")),"! Best value cannot be lower than values for options. The tool will not consider this indicator","")))))</f>
        <v>! No current value. The tool will not consider this indicator</v>
      </c>
      <c r="R104" s="170"/>
      <c r="S104" s="170"/>
      <c r="T104" s="170"/>
      <c r="U104" s="170"/>
      <c r="V104" s="170"/>
      <c r="W104" s="170"/>
      <c r="X104" s="170"/>
      <c r="Y104" s="170"/>
      <c r="Z104" s="31"/>
      <c r="AA104" s="29"/>
      <c r="AB104" s="29"/>
      <c r="AC104" s="29"/>
      <c r="AD104" s="29"/>
    </row>
    <row r="105" spans="2:30" ht="15" customHeight="1">
      <c r="B105" s="33"/>
      <c r="C105" s="29"/>
      <c r="D105" s="47" t="str">
        <f>PTAout!D125</f>
        <v>Number of activities</v>
      </c>
      <c r="E105" s="27"/>
      <c r="F105" s="190" t="str">
        <f>PTAout!F125</f>
        <v/>
      </c>
      <c r="G105" s="270" t="str">
        <f>PTAout!H125</f>
        <v/>
      </c>
      <c r="H105" s="270" t="str">
        <f>PTAout!L125</f>
        <v/>
      </c>
      <c r="I105" s="270" t="str">
        <f>PTAout!Q125</f>
        <v/>
      </c>
      <c r="J105" s="270" t="str">
        <f>PTAout!V125</f>
        <v/>
      </c>
      <c r="K105" s="270" t="str">
        <f>PTAout!AA125</f>
        <v/>
      </c>
      <c r="L105" s="270" t="str">
        <f>PTAout!AF125</f>
        <v/>
      </c>
      <c r="M105" s="45"/>
      <c r="N105" s="919" t="s">
        <v>744</v>
      </c>
      <c r="O105" s="113"/>
      <c r="P105" s="113"/>
      <c r="Q105" s="473" t="str">
        <f>IF(OR(O105="",P105=""),"! Worst and best values not specified. The tool will not consider this indicator",IF(P105&lt;O105,"! Best value cannot be lower than worst value.The tool will not consider this indicator",IF(AND(G105="",OR(O105&lt;&gt;"",P105&lt;&gt;"")),"! No current value. The tool will not consider this indicator",IF(OR(AND(O105&gt;G105,G105&lt;&gt;""),AND(O105&gt;H105,H105&lt;&gt;""),AND(O105&gt;I105,I105&lt;&gt;""),AND(O105&gt;J105,I105&lt;&gt;""),AND(O105&gt;K105,K105&lt;&gt;""),AND(O105&gt;L105,L105&lt;&gt;"")),"! Worst value cannot be higher than values for options.The tool will not consider this indicator",IF(OR(AND(P105&lt;G105,G105&lt;&gt;""),AND(P105&lt;H105,H105&lt;&gt;""),AND(P105&lt;I105,I105&lt;&gt;""),AND(P105&lt;J105,J105&lt;&gt;""),AND(P105&lt;K105,K105&lt;&gt;""),AND(P105&lt;L105,L105&lt;&gt;"")),"! Best value cannot be lower than values for options. The tool will not consider this indicator","")))))</f>
        <v>! Worst and best values not specified. The tool will not consider this indicator</v>
      </c>
      <c r="R105" s="170"/>
      <c r="S105" s="170"/>
      <c r="T105" s="170"/>
      <c r="U105" s="170"/>
      <c r="V105" s="170"/>
      <c r="W105" s="170"/>
      <c r="X105" s="170"/>
      <c r="Y105" s="170"/>
      <c r="Z105" s="31"/>
      <c r="AA105" s="29"/>
      <c r="AB105" s="29"/>
      <c r="AC105" s="29"/>
      <c r="AD105" s="29"/>
    </row>
    <row r="106" spans="2:30" ht="15" customHeight="1">
      <c r="B106" s="33"/>
      <c r="C106" s="29"/>
      <c r="D106" s="47" t="str">
        <f>PTAout!D126</f>
        <v>Duration</v>
      </c>
      <c r="E106" s="27"/>
      <c r="F106" s="190" t="str">
        <f>PTAout!F126</f>
        <v/>
      </c>
      <c r="G106" s="270" t="str">
        <f>PTAout!H126</f>
        <v/>
      </c>
      <c r="H106" s="270" t="str">
        <f>PTAout!L126</f>
        <v/>
      </c>
      <c r="I106" s="270" t="str">
        <f>PTAout!Q126</f>
        <v/>
      </c>
      <c r="J106" s="270" t="str">
        <f>PTAout!V126</f>
        <v/>
      </c>
      <c r="K106" s="270" t="str">
        <f>PTAout!AA126</f>
        <v/>
      </c>
      <c r="L106" s="270" t="str">
        <f>PTAout!AF126</f>
        <v/>
      </c>
      <c r="M106" s="45"/>
      <c r="N106" s="919" t="s">
        <v>744</v>
      </c>
      <c r="O106" s="113"/>
      <c r="P106" s="113"/>
      <c r="Q106" s="473" t="str">
        <f>IF(OR(O106="",P106=""),"! Worst and best values not specified. The tool will not consider this indicator",IF(P106&lt;O106,"! Best value cannot be lower than worst value.The tool will not consider this indicator",IF(AND(G106="",OR(O106&lt;&gt;"",P106&lt;&gt;"")),"! No current value. The tool will not consider this indicator",IF(OR(AND(O106&gt;G106,G106&lt;&gt;""),AND(O106&gt;H106,H106&lt;&gt;""),AND(O106&gt;I106,I106&lt;&gt;""),AND(O106&gt;J106,I106&lt;&gt;""),AND(O106&gt;K106,K106&lt;&gt;""),AND(O106&gt;L106,L106&lt;&gt;"")),"! Worst value cannot be higher than values for options.The tool will not consider this indicator",IF(OR(AND(P106&lt;G106,G106&lt;&gt;""),AND(P106&lt;H106,H106&lt;&gt;""),AND(P106&lt;I106,I106&lt;&gt;""),AND(P106&lt;J106,J106&lt;&gt;""),AND(P106&lt;K106,K106&lt;&gt;""),AND(P106&lt;L106,L106&lt;&gt;"")),"! Best value cannot be lower than values for options. The tool will not consider this indicator","")))))</f>
        <v>! Worst and best values not specified. The tool will not consider this indicator</v>
      </c>
      <c r="R106" s="170"/>
      <c r="S106" s="170"/>
      <c r="T106" s="170"/>
      <c r="U106" s="170"/>
      <c r="V106" s="170"/>
      <c r="W106" s="170"/>
      <c r="X106" s="170"/>
      <c r="Y106" s="170"/>
      <c r="Z106" s="31"/>
      <c r="AA106" s="29"/>
      <c r="AB106" s="29"/>
      <c r="AC106" s="29"/>
      <c r="AD106" s="29"/>
    </row>
    <row r="107" spans="2:30" ht="15" customHeight="1">
      <c r="B107" s="33"/>
      <c r="C107" s="59"/>
      <c r="D107" s="85" t="str">
        <f>PTAout!D127</f>
        <v>Quality</v>
      </c>
      <c r="E107" s="60"/>
      <c r="F107" s="294" t="str">
        <f>PTAout!F127</f>
        <v/>
      </c>
      <c r="G107" s="295" t="str">
        <f>PTAout!H127</f>
        <v/>
      </c>
      <c r="H107" s="295" t="str">
        <f>PTAout!L127</f>
        <v/>
      </c>
      <c r="I107" s="295" t="str">
        <f>PTAout!Q127</f>
        <v/>
      </c>
      <c r="J107" s="295" t="str">
        <f>PTAout!V127</f>
        <v/>
      </c>
      <c r="K107" s="295" t="str">
        <f>PTAout!AA127</f>
        <v/>
      </c>
      <c r="L107" s="295" t="str">
        <f>PTAout!AF127</f>
        <v/>
      </c>
      <c r="M107" s="45"/>
      <c r="N107" s="919" t="s">
        <v>743</v>
      </c>
      <c r="O107" s="299"/>
      <c r="P107" s="299"/>
      <c r="Q107" s="478" t="str">
        <f>IF(OR(O107="",P107=""),"! Worst and best values not specified. The tool will not consider this indicator",IF(P107&gt;O107,"! Best value cannot be higher than worst value. The tool will not consider this indicator",IF(AND(G107="",OR(O107&lt;&gt;"",P107&lt;&gt;"")),"! No current value. The tool will not consider this indicator",IF(OR(AND(O107&lt;G107,G107&lt;&gt;""),AND(O107&lt;H107,H107&lt;&gt;""),AND(O107&lt;I107,I107&lt;&gt;""),AND(O107&lt;J107,J107&lt;&gt;""),AND(O107&lt;K107,K107&lt;&gt;""),AND(O107&lt;L107,L107&lt;&gt;"")),"! Worst value cannot be lower than values for options.The tool will not consider this indicator",IF(OR(AND(P107&gt;G107,G107&lt;&gt;""),AND(P107&gt;H107,H107&lt;&gt;""),AND(P107&gt;I107,I107&lt;&gt;""),AND(P107&gt;J107,J107&lt;&gt;""),AND(P107&gt;K107,K107&lt;&gt;""),AND(P107&gt;L107,L107&lt;&gt;"")),"! Best value cannot be higher than values for options.The tool will not consider this indicator","")))))</f>
        <v>! Worst and best values not specified. The tool will not consider this indicator</v>
      </c>
      <c r="R107" s="170"/>
      <c r="S107" s="170"/>
      <c r="T107" s="170"/>
      <c r="U107" s="170"/>
      <c r="V107" s="170"/>
      <c r="W107" s="170"/>
      <c r="X107" s="170"/>
      <c r="Y107" s="170"/>
      <c r="Z107" s="31"/>
      <c r="AA107" s="29"/>
      <c r="AB107" s="29"/>
      <c r="AC107" s="29"/>
      <c r="AD107" s="29"/>
    </row>
    <row r="108" spans="2:30" ht="15" customHeight="1">
      <c r="B108" s="33"/>
      <c r="C108" s="293" t="str">
        <f>PTAout!C128</f>
        <v>Car share</v>
      </c>
      <c r="D108" s="47"/>
      <c r="E108" s="27"/>
      <c r="F108" s="370"/>
      <c r="G108" s="296"/>
      <c r="H108" s="296"/>
      <c r="I108" s="296"/>
      <c r="J108" s="296"/>
      <c r="K108" s="296"/>
      <c r="L108" s="296"/>
      <c r="M108" s="45"/>
      <c r="N108" s="178"/>
      <c r="O108" s="177"/>
      <c r="P108" s="177"/>
      <c r="Q108" s="477"/>
      <c r="R108" s="177"/>
      <c r="S108" s="177"/>
      <c r="T108" s="177"/>
      <c r="U108" s="177"/>
      <c r="V108" s="177"/>
      <c r="W108" s="177"/>
      <c r="X108" s="177"/>
      <c r="Y108" s="177"/>
      <c r="Z108" s="31"/>
      <c r="AA108" s="29"/>
      <c r="AB108" s="29"/>
      <c r="AC108" s="29"/>
      <c r="AD108" s="29"/>
    </row>
    <row r="109" spans="2:30" ht="15" customHeight="1">
      <c r="B109" s="33"/>
      <c r="C109" s="29"/>
      <c r="D109" s="47" t="str">
        <f>PTAout!D129</f>
        <v>Space</v>
      </c>
      <c r="E109" s="27"/>
      <c r="F109" s="190" t="str">
        <f>PTAout!F129</f>
        <v>Width available</v>
      </c>
      <c r="G109" s="270" t="str">
        <f>PTAout!H129</f>
        <v/>
      </c>
      <c r="H109" s="270" t="str">
        <f>PTAout!L129</f>
        <v/>
      </c>
      <c r="I109" s="270" t="str">
        <f>PTAout!Q129</f>
        <v/>
      </c>
      <c r="J109" s="270" t="str">
        <f>PTAout!V129</f>
        <v/>
      </c>
      <c r="K109" s="270" t="str">
        <f>PTAout!AA129</f>
        <v/>
      </c>
      <c r="L109" s="270" t="str">
        <f>PTAout!AF129</f>
        <v/>
      </c>
      <c r="M109" s="928"/>
      <c r="N109" s="919" t="s">
        <v>744</v>
      </c>
      <c r="O109" s="211">
        <v>0</v>
      </c>
      <c r="P109" s="112">
        <v>4</v>
      </c>
      <c r="Q109" s="473" t="str">
        <f>IF(OR(O109="",P109=""),"! Worst and best values not specified. The tool will not consider this indicator",IF(P109&lt;O109,"! Best value cannot be lower than worst value.The tool will not consider this indicator",IF(AND(G109="",OR(O109&lt;&gt;"",P109&lt;&gt;"")),"! No current value. The tool will not consider this indicator",IF(OR(AND(O109&gt;G109,G109&lt;&gt;""),AND(O109&gt;H109,H109&lt;&gt;""),AND(O109&gt;I109,I109&lt;&gt;""),AND(O109&gt;J109,I109&lt;&gt;""),AND(O109&gt;K109,K109&lt;&gt;""),AND(O109&gt;L109,L109&lt;&gt;"")),"! Worst value cannot be higher than values for options.The tool will not consider this indicator",IF(OR(AND(P109&lt;G109,G109&lt;&gt;""),AND(P109&lt;H109,H109&lt;&gt;""),AND(P109&lt;I109,I109&lt;&gt;""),AND(P109&lt;J109,J109&lt;&gt;""),AND(P109&lt;K109,K109&lt;&gt;""),AND(P109&lt;L109,L109&lt;&gt;"")),"! Best value cannot be lower than values for options. The tool will not consider this indicator","")))))</f>
        <v>! No current value. The tool will not consider this indicator</v>
      </c>
      <c r="R109" s="170"/>
      <c r="S109" s="170"/>
      <c r="T109" s="170"/>
      <c r="U109" s="170"/>
      <c r="V109" s="170"/>
      <c r="W109" s="170"/>
      <c r="X109" s="170"/>
      <c r="Y109" s="170"/>
      <c r="Z109" s="31"/>
      <c r="AA109" s="29"/>
      <c r="AB109" s="29"/>
      <c r="AC109" s="29"/>
      <c r="AD109" s="29"/>
    </row>
    <row r="110" spans="2:30" ht="15" customHeight="1">
      <c r="B110" s="33"/>
      <c r="C110" s="29"/>
      <c r="D110" s="47" t="str">
        <f>PTAout!D130</f>
        <v>Number of activities</v>
      </c>
      <c r="E110" s="27"/>
      <c r="F110" s="190" t="str">
        <f>PTAout!F130</f>
        <v/>
      </c>
      <c r="G110" s="270" t="str">
        <f>PTAout!H130</f>
        <v/>
      </c>
      <c r="H110" s="270" t="str">
        <f>PTAout!L130</f>
        <v/>
      </c>
      <c r="I110" s="270" t="str">
        <f>PTAout!Q130</f>
        <v/>
      </c>
      <c r="J110" s="270" t="str">
        <f>PTAout!V130</f>
        <v/>
      </c>
      <c r="K110" s="270" t="str">
        <f>PTAout!AA130</f>
        <v/>
      </c>
      <c r="L110" s="270" t="str">
        <f>PTAout!AF130</f>
        <v/>
      </c>
      <c r="M110" s="45"/>
      <c r="N110" s="919" t="s">
        <v>744</v>
      </c>
      <c r="O110" s="113"/>
      <c r="P110" s="113"/>
      <c r="Q110" s="473" t="str">
        <f>IF(OR(O110="",P110=""),"! Worst and best values not specified. The tool will not consider this indicator",IF(P110&lt;O110,"! Best value cannot be lower than worst value.The tool will not consider this indicator",IF(AND(G110="",OR(O110&lt;&gt;"",P110&lt;&gt;"")),"! No current value. The tool will not consider this indicator",IF(OR(AND(O110&gt;G110,G110&lt;&gt;""),AND(O110&gt;H110,H110&lt;&gt;""),AND(O110&gt;I110,I110&lt;&gt;""),AND(O110&gt;J110,I110&lt;&gt;""),AND(O110&gt;K110,K110&lt;&gt;""),AND(O110&gt;L110,L110&lt;&gt;"")),"! Worst value cannot be higher than values for options.The tool will not consider this indicator",IF(OR(AND(P110&lt;G110,G110&lt;&gt;""),AND(P110&lt;H110,H110&lt;&gt;""),AND(P110&lt;I110,I110&lt;&gt;""),AND(P110&lt;J110,J110&lt;&gt;""),AND(P110&lt;K110,K110&lt;&gt;""),AND(P110&lt;L110,L110&lt;&gt;"")),"! Best value cannot be lower than values for options. The tool will not consider this indicator","")))))</f>
        <v>! Worst and best values not specified. The tool will not consider this indicator</v>
      </c>
      <c r="R110" s="170"/>
      <c r="S110" s="170"/>
      <c r="T110" s="170"/>
      <c r="U110" s="170"/>
      <c r="V110" s="170"/>
      <c r="W110" s="170"/>
      <c r="X110" s="170"/>
      <c r="Y110" s="170"/>
      <c r="Z110" s="31"/>
      <c r="AA110" s="29"/>
      <c r="AB110" s="29"/>
      <c r="AC110" s="29"/>
      <c r="AD110" s="29"/>
    </row>
    <row r="111" spans="2:30" ht="15" customHeight="1">
      <c r="B111" s="33"/>
      <c r="C111" s="29"/>
      <c r="D111" s="47" t="str">
        <f>PTAout!D131</f>
        <v>Duration</v>
      </c>
      <c r="E111" s="27"/>
      <c r="F111" s="190" t="str">
        <f>PTAout!F131</f>
        <v/>
      </c>
      <c r="G111" s="270" t="str">
        <f>PTAout!H131</f>
        <v/>
      </c>
      <c r="H111" s="270" t="str">
        <f>PTAout!L131</f>
        <v/>
      </c>
      <c r="I111" s="270" t="str">
        <f>PTAout!Q131</f>
        <v/>
      </c>
      <c r="J111" s="270" t="str">
        <f>PTAout!V131</f>
        <v/>
      </c>
      <c r="K111" s="270" t="str">
        <f>PTAout!AA131</f>
        <v/>
      </c>
      <c r="L111" s="270" t="str">
        <f>PTAout!AF131</f>
        <v/>
      </c>
      <c r="M111" s="45"/>
      <c r="N111" s="919" t="s">
        <v>744</v>
      </c>
      <c r="O111" s="113"/>
      <c r="P111" s="113"/>
      <c r="Q111" s="473" t="str">
        <f>IF(OR(O111="",P111=""),"! Worst and best values not specified. The tool will not consider this indicator",IF(P111&lt;O111,"! Best value cannot be lower than worst value.The tool will not consider this indicator",IF(AND(G111="",OR(O111&lt;&gt;"",P111&lt;&gt;"")),"! No current value. The tool will not consider this indicator",IF(OR(AND(O111&gt;G111,G111&lt;&gt;""),AND(O111&gt;H111,H111&lt;&gt;""),AND(O111&gt;I111,I111&lt;&gt;""),AND(O111&gt;J111,I111&lt;&gt;""),AND(O111&gt;K111,K111&lt;&gt;""),AND(O111&gt;L111,L111&lt;&gt;"")),"! Worst value cannot be higher than values for options.The tool will not consider this indicator",IF(OR(AND(P111&lt;G111,G111&lt;&gt;""),AND(P111&lt;H111,H111&lt;&gt;""),AND(P111&lt;I111,I111&lt;&gt;""),AND(P111&lt;J111,J111&lt;&gt;""),AND(P111&lt;K111,K111&lt;&gt;""),AND(P111&lt;L111,L111&lt;&gt;"")),"! Best value cannot be lower than values for options. The tool will not consider this indicator","")))))</f>
        <v>! Worst and best values not specified. The tool will not consider this indicator</v>
      </c>
      <c r="R111" s="170"/>
      <c r="S111" s="170"/>
      <c r="T111" s="170"/>
      <c r="U111" s="170"/>
      <c r="V111" s="170"/>
      <c r="W111" s="170"/>
      <c r="X111" s="170"/>
      <c r="Y111" s="170"/>
      <c r="Z111" s="31"/>
      <c r="AA111" s="29"/>
      <c r="AB111" s="29"/>
      <c r="AC111" s="29"/>
      <c r="AD111" s="29"/>
    </row>
    <row r="112" spans="2:30" ht="15" customHeight="1">
      <c r="B112" s="33"/>
      <c r="C112" s="59"/>
      <c r="D112" s="85" t="str">
        <f>PTAout!D132</f>
        <v>Quality</v>
      </c>
      <c r="E112" s="60"/>
      <c r="F112" s="294" t="str">
        <f>PTAout!F132</f>
        <v/>
      </c>
      <c r="G112" s="295" t="str">
        <f>PTAout!H132</f>
        <v/>
      </c>
      <c r="H112" s="295" t="str">
        <f>PTAout!L132</f>
        <v/>
      </c>
      <c r="I112" s="295" t="str">
        <f>PTAout!Q132</f>
        <v/>
      </c>
      <c r="J112" s="295" t="str">
        <f>PTAout!V132</f>
        <v/>
      </c>
      <c r="K112" s="295" t="str">
        <f>PTAout!AA132</f>
        <v/>
      </c>
      <c r="L112" s="295" t="str">
        <f>PTAout!AF132</f>
        <v/>
      </c>
      <c r="M112" s="45"/>
      <c r="N112" s="919" t="s">
        <v>743</v>
      </c>
      <c r="O112" s="299"/>
      <c r="P112" s="299"/>
      <c r="Q112" s="478" t="str">
        <f>IF(OR(O112="",P112=""),"! Worst and best values not specified. The tool will not consider this indicator",IF(P112&gt;O112,"! Best value cannot be higher than worst value. The tool will not consider this indicator",IF(AND(G112="",OR(O112&lt;&gt;"",P112&lt;&gt;"")),"! No current value. The tool will not consider this indicator",IF(OR(AND(O112&lt;G112,G112&lt;&gt;""),AND(O112&lt;H112,H112&lt;&gt;""),AND(O112&lt;I112,I112&lt;&gt;""),AND(O112&lt;J112,J112&lt;&gt;""),AND(O112&lt;K112,K112&lt;&gt;""),AND(O112&lt;L112,L112&lt;&gt;"")),"! Worst value cannot be lower than values for options.The tool will not consider this indicator",IF(OR(AND(P112&gt;G112,G112&lt;&gt;""),AND(P112&gt;H112,H112&lt;&gt;""),AND(P112&gt;I112,I112&lt;&gt;""),AND(P112&gt;J112,J112&lt;&gt;""),AND(P112&gt;K112,K112&lt;&gt;""),AND(P112&gt;L112,L112&lt;&gt;"")),"! Best value cannot be higher than values for options.The tool will not consider this indicator","")))))</f>
        <v>! Worst and best values not specified. The tool will not consider this indicator</v>
      </c>
      <c r="R112" s="170"/>
      <c r="S112" s="170"/>
      <c r="T112" s="170"/>
      <c r="U112" s="170"/>
      <c r="V112" s="170"/>
      <c r="W112" s="170"/>
      <c r="X112" s="170"/>
      <c r="Y112" s="170"/>
      <c r="Z112" s="31"/>
      <c r="AA112" s="29"/>
      <c r="AB112" s="29"/>
      <c r="AC112" s="29"/>
      <c r="AD112" s="29"/>
    </row>
    <row r="113" spans="2:30" ht="15" customHeight="1">
      <c r="B113" s="33"/>
      <c r="C113" s="293" t="str">
        <f>PTAout!C133</f>
        <v>Bus stopping</v>
      </c>
      <c r="D113" s="47"/>
      <c r="E113" s="27"/>
      <c r="F113" s="370"/>
      <c r="G113" s="296"/>
      <c r="H113" s="296"/>
      <c r="I113" s="296"/>
      <c r="J113" s="296"/>
      <c r="K113" s="296"/>
      <c r="L113" s="296"/>
      <c r="M113" s="45"/>
      <c r="N113" s="178"/>
      <c r="O113" s="177"/>
      <c r="P113" s="177"/>
      <c r="Q113" s="477"/>
      <c r="R113" s="177"/>
      <c r="S113" s="177"/>
      <c r="T113" s="177"/>
      <c r="U113" s="177"/>
      <c r="V113" s="177"/>
      <c r="W113" s="177"/>
      <c r="X113" s="177"/>
      <c r="Y113" s="177"/>
      <c r="Z113" s="31"/>
      <c r="AA113" s="29"/>
      <c r="AB113" s="29"/>
      <c r="AC113" s="29"/>
      <c r="AD113" s="29"/>
    </row>
    <row r="114" spans="2:30" ht="15" customHeight="1">
      <c r="B114" s="33"/>
      <c r="C114" s="29"/>
      <c r="D114" s="47" t="str">
        <f>PTAout!D134</f>
        <v>Space</v>
      </c>
      <c r="E114" s="27"/>
      <c r="F114" s="190" t="str">
        <f>PTAout!F134</f>
        <v>Width available</v>
      </c>
      <c r="G114" s="270" t="str">
        <f>PTAout!H134</f>
        <v/>
      </c>
      <c r="H114" s="270" t="str">
        <f>PTAout!L134</f>
        <v/>
      </c>
      <c r="I114" s="270" t="str">
        <f>PTAout!Q134</f>
        <v/>
      </c>
      <c r="J114" s="270" t="str">
        <f>PTAout!V134</f>
        <v/>
      </c>
      <c r="K114" s="270" t="str">
        <f>PTAout!AA134</f>
        <v/>
      </c>
      <c r="L114" s="270" t="str">
        <f>PTAout!AF134</f>
        <v/>
      </c>
      <c r="M114" s="928"/>
      <c r="N114" s="919" t="s">
        <v>744</v>
      </c>
      <c r="O114" s="211">
        <v>0</v>
      </c>
      <c r="P114" s="112">
        <v>4</v>
      </c>
      <c r="Q114" s="473" t="str">
        <f>IF(OR(O114="",P114=""),"! Worst and best values not specified. The tool will not consider this indicator",IF(P114&lt;O114,"! Best value cannot be lower than worst value.The tool will not consider this indicator",IF(AND(G114="",OR(O114&lt;&gt;"",P114&lt;&gt;"")),"! No current value. The tool will not consider this indicator",IF(OR(AND(O114&gt;G114,G114&lt;&gt;""),AND(O114&gt;H114,H114&lt;&gt;""),AND(O114&gt;I114,I114&lt;&gt;""),AND(O114&gt;J114,I114&lt;&gt;""),AND(O114&gt;K114,K114&lt;&gt;""),AND(O114&gt;L114,L114&lt;&gt;"")),"! Worst value cannot be higher than values for options.The tool will not consider this indicator",IF(OR(AND(P114&lt;G114,G114&lt;&gt;""),AND(P114&lt;H114,H114&lt;&gt;""),AND(P114&lt;I114,I114&lt;&gt;""),AND(P114&lt;J114,J114&lt;&gt;""),AND(P114&lt;K114,K114&lt;&gt;""),AND(P114&lt;L114,L114&lt;&gt;"")),"! Best value cannot be lower than values for options. The tool will not consider this indicator","")))))</f>
        <v>! No current value. The tool will not consider this indicator</v>
      </c>
      <c r="R114" s="170"/>
      <c r="S114" s="170"/>
      <c r="T114" s="170"/>
      <c r="U114" s="170"/>
      <c r="V114" s="170"/>
      <c r="W114" s="170"/>
      <c r="X114" s="170"/>
      <c r="Y114" s="170"/>
      <c r="Z114" s="31"/>
      <c r="AA114" s="29"/>
      <c r="AB114" s="29"/>
      <c r="AC114" s="29"/>
      <c r="AD114" s="29"/>
    </row>
    <row r="115" spans="2:30" ht="15" customHeight="1">
      <c r="B115" s="33"/>
      <c r="C115" s="29"/>
      <c r="D115" s="47" t="str">
        <f>PTAout!D135</f>
        <v>Number of activities</v>
      </c>
      <c r="E115" s="27"/>
      <c r="F115" s="190" t="str">
        <f>PTAout!F135</f>
        <v/>
      </c>
      <c r="G115" s="270" t="str">
        <f>PTAout!H135</f>
        <v/>
      </c>
      <c r="H115" s="270" t="str">
        <f>PTAout!L135</f>
        <v/>
      </c>
      <c r="I115" s="270" t="str">
        <f>PTAout!Q135</f>
        <v/>
      </c>
      <c r="J115" s="270" t="str">
        <f>PTAout!V135</f>
        <v/>
      </c>
      <c r="K115" s="270" t="str">
        <f>PTAout!AA135</f>
        <v/>
      </c>
      <c r="L115" s="270" t="str">
        <f>PTAout!AF135</f>
        <v/>
      </c>
      <c r="M115" s="45"/>
      <c r="N115" s="919" t="s">
        <v>744</v>
      </c>
      <c r="O115" s="113"/>
      <c r="P115" s="113"/>
      <c r="Q115" s="473" t="str">
        <f>IF(OR(O115="",P115=""),"! Worst and best values not specified. The tool will not consider this indicator",IF(P115&lt;O115,"! Best value cannot be lower than worst value.The tool will not consider this indicator",IF(AND(G115="",OR(O115&lt;&gt;"",P115&lt;&gt;"")),"! No current value. The tool will not consider this indicator",IF(OR(AND(O115&gt;G115,G115&lt;&gt;""),AND(O115&gt;H115,H115&lt;&gt;""),AND(O115&gt;I115,I115&lt;&gt;""),AND(O115&gt;J115,I115&lt;&gt;""),AND(O115&gt;K115,K115&lt;&gt;""),AND(O115&gt;L115,L115&lt;&gt;"")),"! Worst value cannot be higher than values for options.The tool will not consider this indicator",IF(OR(AND(P115&lt;G115,G115&lt;&gt;""),AND(P115&lt;H115,H115&lt;&gt;""),AND(P115&lt;I115,I115&lt;&gt;""),AND(P115&lt;J115,J115&lt;&gt;""),AND(P115&lt;K115,K115&lt;&gt;""),AND(P115&lt;L115,L115&lt;&gt;"")),"! Best value cannot be lower than values for options. The tool will not consider this indicator","")))))</f>
        <v>! Worst and best values not specified. The tool will not consider this indicator</v>
      </c>
      <c r="R115" s="170"/>
      <c r="S115" s="170"/>
      <c r="T115" s="170"/>
      <c r="U115" s="170"/>
      <c r="V115" s="170"/>
      <c r="W115" s="170"/>
      <c r="X115" s="170"/>
      <c r="Y115" s="170"/>
      <c r="Z115" s="31"/>
      <c r="AA115" s="29"/>
      <c r="AB115" s="29"/>
      <c r="AC115" s="29"/>
      <c r="AD115" s="29"/>
    </row>
    <row r="116" spans="2:30" ht="15" customHeight="1">
      <c r="B116" s="33"/>
      <c r="C116" s="29"/>
      <c r="D116" s="47" t="str">
        <f>PTAout!D136</f>
        <v>Duration</v>
      </c>
      <c r="E116" s="27"/>
      <c r="F116" s="190" t="str">
        <f>PTAout!F136</f>
        <v/>
      </c>
      <c r="G116" s="270" t="str">
        <f>PTAout!H136</f>
        <v/>
      </c>
      <c r="H116" s="270" t="str">
        <f>PTAout!L136</f>
        <v/>
      </c>
      <c r="I116" s="270" t="str">
        <f>PTAout!Q136</f>
        <v/>
      </c>
      <c r="J116" s="270" t="str">
        <f>PTAout!V136</f>
        <v/>
      </c>
      <c r="K116" s="270" t="str">
        <f>PTAout!AA136</f>
        <v/>
      </c>
      <c r="L116" s="270" t="str">
        <f>PTAout!AF136</f>
        <v/>
      </c>
      <c r="M116" s="45"/>
      <c r="N116" s="919" t="s">
        <v>744</v>
      </c>
      <c r="O116" s="113"/>
      <c r="P116" s="113"/>
      <c r="Q116" s="473" t="str">
        <f>IF(OR(O116="",P116=""),"! Worst and best values not specified. The tool will not consider this indicator",IF(P116&lt;O116,"! Best value cannot be lower than worst value.The tool will not consider this indicator",IF(AND(G116="",OR(O116&lt;&gt;"",P116&lt;&gt;"")),"! No current value. The tool will not consider this indicator",IF(OR(AND(O116&gt;G116,G116&lt;&gt;""),AND(O116&gt;H116,H116&lt;&gt;""),AND(O116&gt;I116,I116&lt;&gt;""),AND(O116&gt;J116,I116&lt;&gt;""),AND(O116&gt;K116,K116&lt;&gt;""),AND(O116&gt;L116,L116&lt;&gt;"")),"! Worst value cannot be higher than values for options.The tool will not consider this indicator",IF(OR(AND(P116&lt;G116,G116&lt;&gt;""),AND(P116&lt;H116,H116&lt;&gt;""),AND(P116&lt;I116,I116&lt;&gt;""),AND(P116&lt;J116,J116&lt;&gt;""),AND(P116&lt;K116,K116&lt;&gt;""),AND(P116&lt;L116,L116&lt;&gt;"")),"! Best value cannot be lower than values for options. The tool will not consider this indicator","")))))</f>
        <v>! Worst and best values not specified. The tool will not consider this indicator</v>
      </c>
      <c r="R116" s="170"/>
      <c r="S116" s="170"/>
      <c r="T116" s="170"/>
      <c r="U116" s="170"/>
      <c r="V116" s="170"/>
      <c r="W116" s="170"/>
      <c r="X116" s="170"/>
      <c r="Y116" s="170"/>
      <c r="Z116" s="31"/>
      <c r="AA116" s="29"/>
      <c r="AB116" s="29"/>
      <c r="AC116" s="29"/>
      <c r="AD116" s="29"/>
    </row>
    <row r="117" spans="2:30" ht="15" customHeight="1">
      <c r="B117" s="33"/>
      <c r="C117" s="59"/>
      <c r="D117" s="85" t="str">
        <f>PTAout!D137</f>
        <v>Quality</v>
      </c>
      <c r="E117" s="60"/>
      <c r="F117" s="294" t="str">
        <f>PTAout!F137</f>
        <v/>
      </c>
      <c r="G117" s="295" t="str">
        <f>PTAout!H137</f>
        <v/>
      </c>
      <c r="H117" s="295" t="str">
        <f>PTAout!L137</f>
        <v/>
      </c>
      <c r="I117" s="295" t="str">
        <f>PTAout!Q137</f>
        <v/>
      </c>
      <c r="J117" s="295" t="str">
        <f>PTAout!V137</f>
        <v/>
      </c>
      <c r="K117" s="295" t="str">
        <f>PTAout!AA137</f>
        <v/>
      </c>
      <c r="L117" s="295" t="str">
        <f>PTAout!AF137</f>
        <v/>
      </c>
      <c r="M117" s="45"/>
      <c r="N117" s="919" t="s">
        <v>743</v>
      </c>
      <c r="O117" s="299"/>
      <c r="P117" s="299"/>
      <c r="Q117" s="478" t="str">
        <f>IF(OR(O117="",P117=""),"! Worst and best values not specified. The tool will not consider this indicator",IF(P117&gt;O117,"! Best value cannot be higher than worst value. The tool will not consider this indicator",IF(AND(G117="",OR(O117&lt;&gt;"",P117&lt;&gt;"")),"! No current value. The tool will not consider this indicator",IF(OR(AND(O117&lt;G117,G117&lt;&gt;""),AND(O117&lt;H117,H117&lt;&gt;""),AND(O117&lt;I117,I117&lt;&gt;""),AND(O117&lt;J117,J117&lt;&gt;""),AND(O117&lt;K117,K117&lt;&gt;""),AND(O117&lt;L117,L117&lt;&gt;"")),"! Worst value cannot be lower than values for options.The tool will not consider this indicator",IF(OR(AND(P117&gt;G117,G117&lt;&gt;""),AND(P117&gt;H117,H117&lt;&gt;""),AND(P117&gt;I117,I117&lt;&gt;""),AND(P117&gt;J117,J117&lt;&gt;""),AND(P117&gt;K117,K117&lt;&gt;""),AND(P117&gt;L117,L117&lt;&gt;"")),"! Best value cannot be higher than values for options.The tool will not consider this indicator","")))))</f>
        <v>! Worst and best values not specified. The tool will not consider this indicator</v>
      </c>
      <c r="R117" s="170"/>
      <c r="S117" s="170"/>
      <c r="T117" s="170"/>
      <c r="U117" s="170"/>
      <c r="V117" s="170"/>
      <c r="W117" s="170"/>
      <c r="X117" s="170"/>
      <c r="Y117" s="170"/>
      <c r="Z117" s="31"/>
      <c r="AA117" s="29"/>
      <c r="AB117" s="29"/>
      <c r="AC117" s="29"/>
      <c r="AD117" s="29"/>
    </row>
    <row r="118" spans="2:30" ht="15" customHeight="1">
      <c r="B118" s="33"/>
      <c r="C118" s="293" t="str">
        <f>PTAout!C138</f>
        <v>Loading (goods vehicle)</v>
      </c>
      <c r="D118" s="47"/>
      <c r="E118" s="27"/>
      <c r="F118" s="370"/>
      <c r="G118" s="296"/>
      <c r="H118" s="296"/>
      <c r="I118" s="296"/>
      <c r="J118" s="296"/>
      <c r="K118" s="296"/>
      <c r="L118" s="296"/>
      <c r="M118" s="45"/>
      <c r="N118" s="178"/>
      <c r="O118" s="177"/>
      <c r="P118" s="177"/>
      <c r="Q118" s="477"/>
      <c r="R118" s="177"/>
      <c r="S118" s="177"/>
      <c r="T118" s="177"/>
      <c r="U118" s="177"/>
      <c r="V118" s="177"/>
      <c r="W118" s="177"/>
      <c r="X118" s="177"/>
      <c r="Y118" s="177"/>
      <c r="Z118" s="31"/>
      <c r="AA118" s="29"/>
      <c r="AB118" s="29"/>
      <c r="AC118" s="29"/>
      <c r="AD118" s="29"/>
    </row>
    <row r="119" spans="2:30" ht="15" customHeight="1">
      <c r="B119" s="33"/>
      <c r="C119" s="29"/>
      <c r="D119" s="47" t="str">
        <f>PTAout!D139</f>
        <v>Space</v>
      </c>
      <c r="E119" s="27"/>
      <c r="F119" s="190" t="str">
        <f>PTAout!F139</f>
        <v>Width available</v>
      </c>
      <c r="G119" s="270" t="str">
        <f>PTAout!H139</f>
        <v/>
      </c>
      <c r="H119" s="270" t="str">
        <f>PTAout!L139</f>
        <v/>
      </c>
      <c r="I119" s="270" t="str">
        <f>PTAout!Q139</f>
        <v/>
      </c>
      <c r="J119" s="270" t="str">
        <f>PTAout!V139</f>
        <v/>
      </c>
      <c r="K119" s="270" t="str">
        <f>PTAout!AA139</f>
        <v/>
      </c>
      <c r="L119" s="270" t="str">
        <f>PTAout!AF139</f>
        <v/>
      </c>
      <c r="M119" s="928"/>
      <c r="N119" s="919" t="s">
        <v>744</v>
      </c>
      <c r="O119" s="211">
        <v>0</v>
      </c>
      <c r="P119" s="112">
        <v>4</v>
      </c>
      <c r="Q119" s="473" t="str">
        <f>IF(OR(O119="",P119=""),"! Worst and best values not specified. The tool will not consider this indicator",IF(P119&lt;O119,"! Best value cannot be lower than worst value.The tool will not consider this indicator",IF(AND(G119="",OR(O119&lt;&gt;"",P119&lt;&gt;"")),"! No current value. The tool will not consider this indicator",IF(OR(AND(O119&gt;G119,G119&lt;&gt;""),AND(O119&gt;H119,H119&lt;&gt;""),AND(O119&gt;I119,I119&lt;&gt;""),AND(O119&gt;J119,I119&lt;&gt;""),AND(O119&gt;K119,K119&lt;&gt;""),AND(O119&gt;L119,L119&lt;&gt;"")),"! Worst value cannot be higher than values for options.The tool will not consider this indicator",IF(OR(AND(P119&lt;G119,G119&lt;&gt;""),AND(P119&lt;H119,H119&lt;&gt;""),AND(P119&lt;I119,I119&lt;&gt;""),AND(P119&lt;J119,J119&lt;&gt;""),AND(P119&lt;K119,K119&lt;&gt;""),AND(P119&lt;L119,L119&lt;&gt;"")),"! Best value cannot be lower than values for options. The tool will not consider this indicator","")))))</f>
        <v>! No current value. The tool will not consider this indicator</v>
      </c>
      <c r="R119" s="170"/>
      <c r="S119" s="170"/>
      <c r="T119" s="170"/>
      <c r="U119" s="170"/>
      <c r="V119" s="170"/>
      <c r="W119" s="170"/>
      <c r="X119" s="170"/>
      <c r="Y119" s="170"/>
      <c r="Z119" s="31"/>
      <c r="AA119" s="29"/>
      <c r="AB119" s="29"/>
      <c r="AC119" s="29"/>
      <c r="AD119" s="29"/>
    </row>
    <row r="120" spans="2:30" ht="15" customHeight="1">
      <c r="B120" s="33"/>
      <c r="C120" s="29"/>
      <c r="D120" s="47" t="str">
        <f>PTAout!D140</f>
        <v>Number of activities</v>
      </c>
      <c r="E120" s="27"/>
      <c r="F120" s="190" t="str">
        <f>PTAout!F140</f>
        <v/>
      </c>
      <c r="G120" s="270" t="str">
        <f>PTAout!H140</f>
        <v/>
      </c>
      <c r="H120" s="270" t="str">
        <f>PTAout!L140</f>
        <v/>
      </c>
      <c r="I120" s="270" t="str">
        <f>PTAout!Q140</f>
        <v/>
      </c>
      <c r="J120" s="270" t="str">
        <f>PTAout!V140</f>
        <v/>
      </c>
      <c r="K120" s="270" t="str">
        <f>PTAout!AA140</f>
        <v/>
      </c>
      <c r="L120" s="270" t="str">
        <f>PTAout!AF140</f>
        <v/>
      </c>
      <c r="M120" s="45"/>
      <c r="N120" s="919" t="s">
        <v>744</v>
      </c>
      <c r="O120" s="113"/>
      <c r="P120" s="113"/>
      <c r="Q120" s="473" t="str">
        <f>IF(OR(O120="",P120=""),"! Worst and best values not specified. The tool will not consider this indicator",IF(P120&lt;O120,"! Best value cannot be lower than worst value.The tool will not consider this indicator",IF(AND(G120="",OR(O120&lt;&gt;"",P120&lt;&gt;"")),"! No current value. The tool will not consider this indicator",IF(OR(AND(O120&gt;G120,G120&lt;&gt;""),AND(O120&gt;H120,H120&lt;&gt;""),AND(O120&gt;I120,I120&lt;&gt;""),AND(O120&gt;J120,I120&lt;&gt;""),AND(O120&gt;K120,K120&lt;&gt;""),AND(O120&gt;L120,L120&lt;&gt;"")),"! Worst value cannot be higher than values for options.The tool will not consider this indicator",IF(OR(AND(P120&lt;G120,G120&lt;&gt;""),AND(P120&lt;H120,H120&lt;&gt;""),AND(P120&lt;I120,I120&lt;&gt;""),AND(P120&lt;J120,J120&lt;&gt;""),AND(P120&lt;K120,K120&lt;&gt;""),AND(P120&lt;L120,L120&lt;&gt;"")),"! Best value cannot be lower than values for options. The tool will not consider this indicator","")))))</f>
        <v>! Worst and best values not specified. The tool will not consider this indicator</v>
      </c>
      <c r="R120" s="170"/>
      <c r="S120" s="170"/>
      <c r="T120" s="170"/>
      <c r="U120" s="170"/>
      <c r="V120" s="170"/>
      <c r="W120" s="170"/>
      <c r="X120" s="170"/>
      <c r="Y120" s="170"/>
      <c r="Z120" s="31"/>
      <c r="AA120" s="29"/>
      <c r="AB120" s="29"/>
      <c r="AC120" s="29"/>
      <c r="AD120" s="29"/>
    </row>
    <row r="121" spans="2:30" ht="15" customHeight="1">
      <c r="B121" s="33"/>
      <c r="C121" s="29"/>
      <c r="D121" s="47" t="str">
        <f>PTAout!D141</f>
        <v>Duration</v>
      </c>
      <c r="E121" s="27"/>
      <c r="F121" s="190" t="str">
        <f>PTAout!F141</f>
        <v/>
      </c>
      <c r="G121" s="270" t="str">
        <f>PTAout!H141</f>
        <v/>
      </c>
      <c r="H121" s="270" t="str">
        <f>PTAout!L141</f>
        <v/>
      </c>
      <c r="I121" s="270" t="str">
        <f>PTAout!Q141</f>
        <v/>
      </c>
      <c r="J121" s="270" t="str">
        <f>PTAout!V141</f>
        <v/>
      </c>
      <c r="K121" s="270" t="str">
        <f>PTAout!AA141</f>
        <v/>
      </c>
      <c r="L121" s="270" t="str">
        <f>PTAout!AF141</f>
        <v/>
      </c>
      <c r="M121" s="45"/>
      <c r="N121" s="919" t="s">
        <v>744</v>
      </c>
      <c r="O121" s="113"/>
      <c r="P121" s="113"/>
      <c r="Q121" s="473" t="str">
        <f>IF(OR(O121="",P121=""),"! Worst and best values not specified. The tool will not consider this indicator",IF(P121&lt;O121,"! Best value cannot be lower than worst value.The tool will not consider this indicator",IF(AND(G121="",OR(O121&lt;&gt;"",P121&lt;&gt;"")),"! No current value. The tool will not consider this indicator",IF(OR(AND(O121&gt;G121,G121&lt;&gt;""),AND(O121&gt;H121,H121&lt;&gt;""),AND(O121&gt;I121,I121&lt;&gt;""),AND(O121&gt;J121,I121&lt;&gt;""),AND(O121&gt;K121,K121&lt;&gt;""),AND(O121&gt;L121,L121&lt;&gt;"")),"! Worst value cannot be higher than values for options.The tool will not consider this indicator",IF(OR(AND(P121&lt;G121,G121&lt;&gt;""),AND(P121&lt;H121,H121&lt;&gt;""),AND(P121&lt;I121,I121&lt;&gt;""),AND(P121&lt;J121,J121&lt;&gt;""),AND(P121&lt;K121,K121&lt;&gt;""),AND(P121&lt;L121,L121&lt;&gt;"")),"! Best value cannot be lower than values for options. The tool will not consider this indicator","")))))</f>
        <v>! Worst and best values not specified. The tool will not consider this indicator</v>
      </c>
      <c r="R121" s="170"/>
      <c r="S121" s="170"/>
      <c r="T121" s="170"/>
      <c r="U121" s="170"/>
      <c r="V121" s="170"/>
      <c r="W121" s="170"/>
      <c r="X121" s="170"/>
      <c r="Y121" s="170"/>
      <c r="Z121" s="31"/>
      <c r="AA121" s="29"/>
      <c r="AB121" s="29"/>
      <c r="AC121" s="29"/>
      <c r="AD121" s="29"/>
    </row>
    <row r="122" spans="2:30" ht="15" customHeight="1">
      <c r="B122" s="33"/>
      <c r="C122" s="59"/>
      <c r="D122" s="85" t="str">
        <f>PTAout!D142</f>
        <v>Quality</v>
      </c>
      <c r="E122" s="60"/>
      <c r="F122" s="294" t="str">
        <f>PTAout!F142</f>
        <v/>
      </c>
      <c r="G122" s="295" t="str">
        <f>PTAout!H142</f>
        <v/>
      </c>
      <c r="H122" s="295" t="str">
        <f>PTAout!L142</f>
        <v/>
      </c>
      <c r="I122" s="295" t="str">
        <f>PTAout!Q142</f>
        <v/>
      </c>
      <c r="J122" s="295" t="str">
        <f>PTAout!V142</f>
        <v/>
      </c>
      <c r="K122" s="295" t="str">
        <f>PTAout!AA142</f>
        <v/>
      </c>
      <c r="L122" s="295" t="str">
        <f>PTAout!AF142</f>
        <v/>
      </c>
      <c r="M122" s="45"/>
      <c r="N122" s="919" t="s">
        <v>743</v>
      </c>
      <c r="O122" s="299"/>
      <c r="P122" s="299"/>
      <c r="Q122" s="478" t="str">
        <f>IF(OR(O122="",P122=""),"! Worst and best values not specified. The tool will not consider this indicator",IF(P122&gt;O122,"! Best value cannot be higher than worst value. The tool will not consider this indicator",IF(AND(G122="",OR(O122&lt;&gt;"",P122&lt;&gt;"")),"! No current value. The tool will not consider this indicator",IF(OR(AND(O122&lt;G122,G122&lt;&gt;""),AND(O122&lt;H122,H122&lt;&gt;""),AND(O122&lt;I122,I122&lt;&gt;""),AND(O122&lt;J122,J122&lt;&gt;""),AND(O122&lt;K122,K122&lt;&gt;""),AND(O122&lt;L122,L122&lt;&gt;"")),"! Worst value cannot be lower than values for options.The tool will not consider this indicator",IF(OR(AND(P122&gt;G122,G122&lt;&gt;""),AND(P122&gt;H122,H122&lt;&gt;""),AND(P122&gt;I122,I122&lt;&gt;""),AND(P122&gt;J122,J122&lt;&gt;""),AND(P122&gt;K122,K122&lt;&gt;""),AND(P122&gt;L122,L122&lt;&gt;"")),"! Best value cannot be higher than values for options.The tool will not consider this indicator","")))))</f>
        <v>! Worst and best values not specified. The tool will not consider this indicator</v>
      </c>
      <c r="R122" s="170"/>
      <c r="S122" s="170"/>
      <c r="T122" s="170"/>
      <c r="U122" s="170"/>
      <c r="V122" s="170"/>
      <c r="W122" s="170"/>
      <c r="X122" s="170"/>
      <c r="Y122" s="170"/>
      <c r="Z122" s="31"/>
      <c r="AA122" s="29"/>
      <c r="AB122" s="29"/>
      <c r="AC122" s="29"/>
      <c r="AD122" s="29"/>
    </row>
    <row r="123" spans="2:30" ht="15" customHeight="1">
      <c r="B123" s="33"/>
      <c r="C123" s="293" t="str">
        <f>PTAout!C143</f>
        <v>All people-based activities</v>
      </c>
      <c r="D123" s="47"/>
      <c r="E123" s="27"/>
      <c r="F123" s="370"/>
      <c r="G123" s="296"/>
      <c r="H123" s="296"/>
      <c r="I123" s="296"/>
      <c r="J123" s="296"/>
      <c r="K123" s="296"/>
      <c r="L123" s="297"/>
      <c r="M123" s="928"/>
      <c r="N123" s="758"/>
      <c r="O123" s="292"/>
      <c r="P123" s="292"/>
      <c r="Q123" s="475"/>
      <c r="R123" s="292"/>
      <c r="S123" s="292"/>
      <c r="T123" s="292"/>
      <c r="U123" s="292"/>
      <c r="V123" s="292"/>
      <c r="W123" s="292"/>
      <c r="X123" s="292"/>
      <c r="Y123" s="292"/>
      <c r="Z123" s="31"/>
      <c r="AA123" s="29"/>
      <c r="AB123" s="29"/>
      <c r="AC123" s="29"/>
      <c r="AD123" s="29"/>
    </row>
    <row r="124" spans="2:30" ht="15" customHeight="1">
      <c r="B124" s="33"/>
      <c r="C124" s="29"/>
      <c r="D124" s="47" t="str">
        <f>PTAout!D144</f>
        <v>Space</v>
      </c>
      <c r="E124" s="27"/>
      <c r="F124" s="190" t="str">
        <f>PTAout!F144</f>
        <v>Width available</v>
      </c>
      <c r="G124" s="270" t="str">
        <f>PTAout!H144</f>
        <v/>
      </c>
      <c r="H124" s="270" t="str">
        <f>PTAout!L144</f>
        <v/>
      </c>
      <c r="I124" s="270" t="str">
        <f>PTAout!Q144</f>
        <v/>
      </c>
      <c r="J124" s="270" t="str">
        <f>PTAout!V144</f>
        <v/>
      </c>
      <c r="K124" s="270" t="str">
        <f>PTAout!AA144</f>
        <v/>
      </c>
      <c r="L124" s="270" t="str">
        <f>PTAout!AF144</f>
        <v/>
      </c>
      <c r="M124" s="45"/>
      <c r="N124" s="919" t="s">
        <v>744</v>
      </c>
      <c r="O124" s="211">
        <v>0</v>
      </c>
      <c r="P124" s="112">
        <v>10</v>
      </c>
      <c r="Q124" s="473" t="str">
        <f>IF(OR(O124="",P124=""),"! Worst and best values not specified. The tool will not consider this indicator",IF(P124&lt;O124,"! Best value cannot be lower than worst value.The tool will not consider this indicator",IF(AND(G124="",OR(O124&lt;&gt;"",P124&lt;&gt;"")),"! No current value. The tool will not consider this indicator",IF(OR(AND(O124&gt;G124,G124&lt;&gt;""),AND(O124&gt;H124,H124&lt;&gt;""),AND(O124&gt;I124,I124&lt;&gt;""),AND(O124&gt;J124,I124&lt;&gt;""),AND(O124&gt;K124,K124&lt;&gt;""),AND(O124&gt;L124,L124&lt;&gt;"")),"! Worst value cannot be higher than values for options.The tool will not consider this indicator",IF(OR(AND(P124&lt;G124,G124&lt;&gt;""),AND(P124&lt;H124,H124&lt;&gt;""),AND(P124&lt;I124,I124&lt;&gt;""),AND(P124&lt;J124,J124&lt;&gt;""),AND(P124&lt;K124,K124&lt;&gt;""),AND(P124&lt;L124,L124&lt;&gt;"")),"! Best value cannot be lower than values for options. The tool will not consider this indicator","")))))</f>
        <v>! No current value. The tool will not consider this indicator</v>
      </c>
      <c r="R124" s="170"/>
      <c r="S124" s="170"/>
      <c r="T124" s="170"/>
      <c r="U124" s="170"/>
      <c r="V124" s="170"/>
      <c r="W124" s="170"/>
      <c r="X124" s="170"/>
      <c r="Y124" s="170"/>
      <c r="Z124" s="31"/>
      <c r="AA124" s="29"/>
      <c r="AB124" s="29"/>
      <c r="AC124" s="29"/>
      <c r="AD124" s="29"/>
    </row>
    <row r="125" spans="2:30" ht="15" customHeight="1">
      <c r="B125" s="33"/>
      <c r="C125" s="29"/>
      <c r="D125" s="47" t="str">
        <f>PTAout!D145</f>
        <v>Number of activities</v>
      </c>
      <c r="E125" s="27"/>
      <c r="F125" s="190" t="str">
        <f>PTAout!F145</f>
        <v/>
      </c>
      <c r="G125" s="270" t="str">
        <f>PTAout!H145</f>
        <v/>
      </c>
      <c r="H125" s="270" t="str">
        <f>PTAout!L145</f>
        <v/>
      </c>
      <c r="I125" s="270" t="str">
        <f>PTAout!Q145</f>
        <v/>
      </c>
      <c r="J125" s="270" t="str">
        <f>PTAout!V145</f>
        <v/>
      </c>
      <c r="K125" s="270" t="str">
        <f>PTAout!AA145</f>
        <v/>
      </c>
      <c r="L125" s="270" t="str">
        <f>PTAout!AF145</f>
        <v/>
      </c>
      <c r="M125" s="45"/>
      <c r="N125" s="919" t="s">
        <v>744</v>
      </c>
      <c r="O125" s="113"/>
      <c r="P125" s="113"/>
      <c r="Q125" s="473" t="str">
        <f>IF(OR(O125="",P125=""),"! Worst and best values not specified. The tool will not consider this indicator",IF(P125&lt;O125,"! Best value cannot be lower than worst value.The tool will not consider this indicator",IF(AND(G125="",OR(O125&lt;&gt;"",P125&lt;&gt;"")),"! No current value. The tool will not consider this indicator",IF(OR(AND(O125&gt;G125,G125&lt;&gt;""),AND(O125&gt;H125,H125&lt;&gt;""),AND(O125&gt;I125,I125&lt;&gt;""),AND(O125&gt;J125,I125&lt;&gt;""),AND(O125&gt;K125,K125&lt;&gt;""),AND(O125&gt;L125,L125&lt;&gt;"")),"! Worst value cannot be higher than values for options.The tool will not consider this indicator",IF(OR(AND(P125&lt;G125,G125&lt;&gt;""),AND(P125&lt;H125,H125&lt;&gt;""),AND(P125&lt;I125,I125&lt;&gt;""),AND(P125&lt;J125,J125&lt;&gt;""),AND(P125&lt;K125,K125&lt;&gt;""),AND(P125&lt;L125,L125&lt;&gt;"")),"! Best value cannot be lower than values for options. The tool will not consider this indicator","")))))</f>
        <v>! Worst and best values not specified. The tool will not consider this indicator</v>
      </c>
      <c r="R125" s="170"/>
      <c r="S125" s="170"/>
      <c r="T125" s="170"/>
      <c r="U125" s="170"/>
      <c r="V125" s="170"/>
      <c r="W125" s="170"/>
      <c r="X125" s="170"/>
      <c r="Y125" s="170"/>
      <c r="Z125" s="31"/>
      <c r="AA125" s="29"/>
      <c r="AB125" s="29"/>
      <c r="AC125" s="29"/>
      <c r="AD125" s="29"/>
    </row>
    <row r="126" spans="2:30" ht="15" customHeight="1">
      <c r="B126" s="33"/>
      <c r="C126" s="29"/>
      <c r="D126" s="47" t="str">
        <f>PTAout!D146</f>
        <v>Duration</v>
      </c>
      <c r="E126" s="27"/>
      <c r="F126" s="190" t="str">
        <f>PTAout!F146</f>
        <v/>
      </c>
      <c r="G126" s="270" t="str">
        <f>PTAout!H146</f>
        <v/>
      </c>
      <c r="H126" s="270" t="str">
        <f>PTAout!L146</f>
        <v/>
      </c>
      <c r="I126" s="270" t="str">
        <f>PTAout!Q146</f>
        <v/>
      </c>
      <c r="J126" s="270" t="str">
        <f>PTAout!V146</f>
        <v/>
      </c>
      <c r="K126" s="270" t="str">
        <f>PTAout!AA146</f>
        <v/>
      </c>
      <c r="L126" s="270" t="str">
        <f>PTAout!AF146</f>
        <v/>
      </c>
      <c r="M126" s="45"/>
      <c r="N126" s="919" t="s">
        <v>744</v>
      </c>
      <c r="O126" s="113"/>
      <c r="P126" s="113"/>
      <c r="Q126" s="473" t="str">
        <f>IF(OR(O126="",P126=""),"! Worst and best values not specified. The tool will not consider this indicator",IF(P126&lt;O126,"! Best value cannot be lower than worst value.The tool will not consider this indicator",IF(AND(G126="",OR(O126&lt;&gt;"",P126&lt;&gt;"")),"! No current value. The tool will not consider this indicator",IF(OR(AND(O126&gt;G126,G126&lt;&gt;""),AND(O126&gt;H126,H126&lt;&gt;""),AND(O126&gt;I126,I126&lt;&gt;""),AND(O126&gt;J126,I126&lt;&gt;""),AND(O126&gt;K126,K126&lt;&gt;""),AND(O126&gt;L126,L126&lt;&gt;"")),"! Worst value cannot be higher than values for options.The tool will not consider this indicator",IF(OR(AND(P126&lt;G126,G126&lt;&gt;""),AND(P126&lt;H126,H126&lt;&gt;""),AND(P126&lt;I126,I126&lt;&gt;""),AND(P126&lt;J126,J126&lt;&gt;""),AND(P126&lt;K126,K126&lt;&gt;""),AND(P126&lt;L126,L126&lt;&gt;"")),"! Best value cannot be lower than values for options. The tool will not consider this indicator","")))))</f>
        <v>! Worst and best values not specified. The tool will not consider this indicator</v>
      </c>
      <c r="R126" s="170"/>
      <c r="S126" s="170"/>
      <c r="T126" s="170"/>
      <c r="U126" s="170"/>
      <c r="V126" s="170"/>
      <c r="W126" s="170"/>
      <c r="X126" s="170"/>
      <c r="Y126" s="170"/>
      <c r="Z126" s="31"/>
      <c r="AA126" s="29"/>
      <c r="AB126" s="29"/>
      <c r="AC126" s="29"/>
      <c r="AD126" s="29"/>
    </row>
    <row r="127" spans="2:30" ht="15" customHeight="1">
      <c r="B127" s="33"/>
      <c r="C127" s="59"/>
      <c r="D127" s="85" t="str">
        <f>PTAout!D147</f>
        <v>Quality</v>
      </c>
      <c r="E127" s="60"/>
      <c r="F127" s="294" t="str">
        <f>PTAout!F147</f>
        <v/>
      </c>
      <c r="G127" s="295" t="str">
        <f>PTAout!H147</f>
        <v/>
      </c>
      <c r="H127" s="295" t="str">
        <f>PTAout!L147</f>
        <v/>
      </c>
      <c r="I127" s="295" t="str">
        <f>PTAout!Q147</f>
        <v/>
      </c>
      <c r="J127" s="295" t="str">
        <f>PTAout!V147</f>
        <v/>
      </c>
      <c r="K127" s="295" t="str">
        <f>PTAout!AA147</f>
        <v/>
      </c>
      <c r="L127" s="295" t="str">
        <f>PTAout!AF147</f>
        <v/>
      </c>
      <c r="M127" s="928"/>
      <c r="N127" s="919" t="s">
        <v>743</v>
      </c>
      <c r="O127" s="454"/>
      <c r="P127" s="454"/>
      <c r="Q127" s="478" t="str">
        <f>IF(OR(O127="",P127=""),"! Worst and best values not specified. The tool will not consider this indicator",IF(P127&gt;O127,"! Best value cannot be higher than worst value. The tool will not consider this indicator",IF(AND(G127="",OR(O127&lt;&gt;"",P127&lt;&gt;"")),"! No current value. The tool will not consider this indicator",IF(OR(AND(O127&lt;G127,G127&lt;&gt;""),AND(O127&lt;H127,H127&lt;&gt;""),AND(O127&lt;I127,I127&lt;&gt;""),AND(O127&lt;J127,J127&lt;&gt;""),AND(O127&lt;K127,K127&lt;&gt;""),AND(O127&lt;L127,L127&lt;&gt;"")),"! Worst value cannot be lower than values for options.The tool will not consider this indicator",IF(OR(AND(P127&gt;G127,G127&lt;&gt;""),AND(P127&gt;H127,H127&lt;&gt;""),AND(P127&gt;I127,I127&lt;&gt;""),AND(P127&gt;J127,J127&lt;&gt;""),AND(P127&gt;K127,K127&lt;&gt;""),AND(P127&gt;L127,L127&lt;&gt;"")),"! Best value cannot be higher than values for options.The tool will not consider this indicator","")))))</f>
        <v>! Worst and best values not specified. The tool will not consider this indicator</v>
      </c>
      <c r="R127" s="170"/>
      <c r="S127" s="170"/>
      <c r="T127" s="170"/>
      <c r="U127" s="170"/>
      <c r="V127" s="170"/>
      <c r="W127" s="170"/>
      <c r="X127" s="170"/>
      <c r="Y127" s="170"/>
      <c r="Z127" s="31"/>
      <c r="AA127" s="29"/>
      <c r="AB127" s="29"/>
      <c r="AC127" s="29"/>
      <c r="AD127" s="29"/>
    </row>
    <row r="128" spans="2:30" ht="15" customHeight="1">
      <c r="B128" s="33"/>
      <c r="C128" s="293" t="str">
        <f>PTAout!C148</f>
        <v>Strolling</v>
      </c>
      <c r="D128" s="47"/>
      <c r="E128" s="27"/>
      <c r="F128" s="370"/>
      <c r="G128" s="296"/>
      <c r="H128" s="296"/>
      <c r="I128" s="296"/>
      <c r="J128" s="296"/>
      <c r="K128" s="296"/>
      <c r="L128" s="296"/>
      <c r="M128" s="45"/>
      <c r="N128" s="178"/>
      <c r="O128" s="177"/>
      <c r="P128" s="177"/>
      <c r="Q128" s="477"/>
      <c r="R128" s="177"/>
      <c r="S128" s="177"/>
      <c r="T128" s="177"/>
      <c r="U128" s="177"/>
      <c r="V128" s="177"/>
      <c r="W128" s="177"/>
      <c r="X128" s="177"/>
      <c r="Y128" s="177"/>
      <c r="Z128" s="31"/>
      <c r="AA128" s="29"/>
      <c r="AB128" s="29"/>
      <c r="AC128" s="29"/>
      <c r="AD128" s="29"/>
    </row>
    <row r="129" spans="2:30" ht="15" customHeight="1">
      <c r="B129" s="33"/>
      <c r="C129" s="29"/>
      <c r="D129" s="47" t="str">
        <f>PTAout!D149</f>
        <v>Space</v>
      </c>
      <c r="E129" s="27"/>
      <c r="F129" s="190" t="str">
        <f>PTAout!F149</f>
        <v>Width available</v>
      </c>
      <c r="G129" s="270" t="str">
        <f>PTAout!H149</f>
        <v/>
      </c>
      <c r="H129" s="270" t="str">
        <f>PTAout!L149</f>
        <v/>
      </c>
      <c r="I129" s="270" t="str">
        <f>PTAout!Q149</f>
        <v/>
      </c>
      <c r="J129" s="270" t="str">
        <f>PTAout!V149</f>
        <v/>
      </c>
      <c r="K129" s="270" t="str">
        <f>PTAout!AA149</f>
        <v/>
      </c>
      <c r="L129" s="270" t="str">
        <f>PTAout!AF149</f>
        <v/>
      </c>
      <c r="M129" s="45"/>
      <c r="N129" s="919" t="s">
        <v>744</v>
      </c>
      <c r="O129" s="211">
        <v>0</v>
      </c>
      <c r="P129" s="113">
        <v>10</v>
      </c>
      <c r="Q129" s="473" t="str">
        <f>IF(OR(O129="",P129=""),"! Worst and best values not specified. The tool will not consider this indicator",IF(P129&lt;O129,"! Best value cannot be lower than worst value.The tool will not consider this indicator",IF(AND(G129="",OR(O129&lt;&gt;"",P129&lt;&gt;"")),"! No current value. The tool will not consider this indicator",IF(OR(AND(O129&gt;G129,G129&lt;&gt;""),AND(O129&gt;H129,H129&lt;&gt;""),AND(O129&gt;I129,I129&lt;&gt;""),AND(O129&gt;J129,I129&lt;&gt;""),AND(O129&gt;K129,K129&lt;&gt;""),AND(O129&gt;L129,L129&lt;&gt;"")),"! Worst value cannot be higher than values for options.The tool will not consider this indicator",IF(OR(AND(P129&lt;G129,G129&lt;&gt;""),AND(P129&lt;H129,H129&lt;&gt;""),AND(P129&lt;I129,I129&lt;&gt;""),AND(P129&lt;J129,J129&lt;&gt;""),AND(P129&lt;K129,K129&lt;&gt;""),AND(P129&lt;L129,L129&lt;&gt;"")),"! Best value cannot be lower than values for options. The tool will not consider this indicator","")))))</f>
        <v>! No current value. The tool will not consider this indicator</v>
      </c>
      <c r="R129" s="170"/>
      <c r="S129" s="170"/>
      <c r="T129" s="170"/>
      <c r="U129" s="170"/>
      <c r="V129" s="170"/>
      <c r="W129" s="170"/>
      <c r="X129" s="170"/>
      <c r="Y129" s="170"/>
      <c r="Z129" s="31"/>
      <c r="AA129" s="29"/>
      <c r="AB129" s="29"/>
      <c r="AC129" s="29"/>
      <c r="AD129" s="29"/>
    </row>
    <row r="130" spans="2:30" ht="15" customHeight="1">
      <c r="B130" s="33"/>
      <c r="C130" s="29"/>
      <c r="D130" s="47" t="str">
        <f>PTAout!D150</f>
        <v>Number of activities</v>
      </c>
      <c r="E130" s="27"/>
      <c r="F130" s="190" t="str">
        <f>PTAout!F150</f>
        <v/>
      </c>
      <c r="G130" s="399" t="str">
        <f>PTAout!H150</f>
        <v/>
      </c>
      <c r="H130" s="458" t="str">
        <f>PTAout!L150</f>
        <v/>
      </c>
      <c r="I130" s="458" t="str">
        <f>PTAout!Q150</f>
        <v/>
      </c>
      <c r="J130" s="458" t="str">
        <f>PTAout!V150</f>
        <v/>
      </c>
      <c r="K130" s="458" t="str">
        <f>PTAout!AA150</f>
        <v/>
      </c>
      <c r="L130" s="458" t="str">
        <f>PTAout!AF150</f>
        <v/>
      </c>
      <c r="M130" s="45"/>
      <c r="N130" s="919" t="s">
        <v>744</v>
      </c>
      <c r="O130" s="113">
        <v>0</v>
      </c>
      <c r="P130" s="113">
        <v>500</v>
      </c>
      <c r="Q130" s="473" t="str">
        <f>IF(OR(O130="",P130=""),"! Worst and best values not specified. The tool will not consider this indicator",IF(P130&lt;O130,"! Best value cannot be lower than worst value.The tool will not consider this indicator",IF(AND(G130="",OR(O130&lt;&gt;"",P130&lt;&gt;"")),"! No current value. The tool will not consider this indicator",IF(OR(AND(O130&gt;G130,G130&lt;&gt;""),AND(O130&gt;H130,H130&lt;&gt;""),AND(O130&gt;I130,I130&lt;&gt;""),AND(O130&gt;J130,I130&lt;&gt;""),AND(O130&gt;K130,K130&lt;&gt;""),AND(O130&gt;L130,L130&lt;&gt;"")),"! Worst value cannot be higher than values for options.The tool will not consider this indicator",IF(OR(AND(P130&lt;G130,G130&lt;&gt;""),AND(P130&lt;H130,H130&lt;&gt;""),AND(P130&lt;I130,I130&lt;&gt;""),AND(P130&lt;J130,J130&lt;&gt;""),AND(P130&lt;K130,K130&lt;&gt;""),AND(P130&lt;L130,L130&lt;&gt;"")),"! Best value cannot be lower than values for options. The tool will not consider this indicator","")))))</f>
        <v>! No current value. The tool will not consider this indicator</v>
      </c>
      <c r="R130" s="170"/>
      <c r="S130" s="170"/>
      <c r="T130" s="170"/>
      <c r="U130" s="170"/>
      <c r="V130" s="170"/>
      <c r="W130" s="170"/>
      <c r="X130" s="170"/>
      <c r="Y130" s="170"/>
      <c r="Z130" s="31"/>
      <c r="AA130" s="29"/>
      <c r="AB130" s="29"/>
      <c r="AC130" s="29"/>
      <c r="AD130" s="29"/>
    </row>
    <row r="131" spans="2:30" ht="15" customHeight="1">
      <c r="B131" s="33"/>
      <c r="C131" s="29"/>
      <c r="D131" s="47" t="str">
        <f>PTAout!D151</f>
        <v>Duration</v>
      </c>
      <c r="E131" s="27"/>
      <c r="F131" s="190" t="str">
        <f>PTAout!F151</f>
        <v/>
      </c>
      <c r="G131" s="399" t="str">
        <f>PTAout!H151</f>
        <v/>
      </c>
      <c r="H131" s="458" t="str">
        <f>PTAout!L151</f>
        <v/>
      </c>
      <c r="I131" s="458" t="str">
        <f>PTAout!Q151</f>
        <v/>
      </c>
      <c r="J131" s="458" t="str">
        <f>PTAout!V151</f>
        <v/>
      </c>
      <c r="K131" s="458" t="str">
        <f>PTAout!AA151</f>
        <v/>
      </c>
      <c r="L131" s="458" t="str">
        <f>PTAout!AF151</f>
        <v/>
      </c>
      <c r="M131" s="928"/>
      <c r="N131" s="919" t="s">
        <v>744</v>
      </c>
      <c r="O131" s="112">
        <v>0</v>
      </c>
      <c r="P131" s="112">
        <v>20</v>
      </c>
      <c r="Q131" s="473" t="str">
        <f>IF(OR(O131="",P131=""),"! Worst and best values not specified. The tool will not consider this indicator",IF(P131&lt;O131,"! Best value cannot be lower than worst value.The tool will not consider this indicator",IF(AND(G131="",OR(O131&lt;&gt;"",P131&lt;&gt;"")),"! No current value. The tool will not consider this indicator",IF(OR(AND(O131&gt;G131,G131&lt;&gt;""),AND(O131&gt;H131,H131&lt;&gt;""),AND(O131&gt;I131,I131&lt;&gt;""),AND(O131&gt;J131,I131&lt;&gt;""),AND(O131&gt;K131,K131&lt;&gt;""),AND(O131&gt;L131,L131&lt;&gt;"")),"! Worst value cannot be higher than values for options.The tool will not consider this indicator",IF(OR(AND(P131&lt;G131,G131&lt;&gt;""),AND(P131&lt;H131,H131&lt;&gt;""),AND(P131&lt;I131,I131&lt;&gt;""),AND(P131&lt;J131,J131&lt;&gt;""),AND(P131&lt;K131,K131&lt;&gt;""),AND(P131&lt;L131,L131&lt;&gt;"")),"! Best value cannot be lower than values for options. The tool will not consider this indicator","")))))</f>
        <v>! No current value. The tool will not consider this indicator</v>
      </c>
      <c r="R131" s="170"/>
      <c r="S131" s="170"/>
      <c r="T131" s="170"/>
      <c r="U131" s="170"/>
      <c r="V131" s="170"/>
      <c r="W131" s="170"/>
      <c r="X131" s="170"/>
      <c r="Y131" s="170"/>
      <c r="Z131" s="31"/>
      <c r="AA131" s="29"/>
      <c r="AB131" s="29"/>
      <c r="AC131" s="29"/>
      <c r="AD131" s="29"/>
    </row>
    <row r="132" spans="2:30" ht="15" customHeight="1">
      <c r="B132" s="33"/>
      <c r="C132" s="59"/>
      <c r="D132" s="85" t="str">
        <f>PTAout!D152</f>
        <v>Quality</v>
      </c>
      <c r="E132" s="60"/>
      <c r="F132" s="294" t="str">
        <f>PTAout!F152</f>
        <v/>
      </c>
      <c r="G132" s="303" t="str">
        <f>PTAout!H152</f>
        <v/>
      </c>
      <c r="H132" s="303" t="str">
        <f>PTAout!L152</f>
        <v/>
      </c>
      <c r="I132" s="303" t="str">
        <f>PTAout!Q152</f>
        <v/>
      </c>
      <c r="J132" s="303" t="str">
        <f>PTAout!V152</f>
        <v/>
      </c>
      <c r="K132" s="303" t="str">
        <f>PTAout!AA152</f>
        <v/>
      </c>
      <c r="L132" s="303" t="str">
        <f>PTAout!AF152</f>
        <v/>
      </c>
      <c r="M132" s="928"/>
      <c r="N132" s="919" t="s">
        <v>743</v>
      </c>
      <c r="O132" s="454">
        <v>0</v>
      </c>
      <c r="P132" s="454">
        <v>100</v>
      </c>
      <c r="Q132" s="478" t="str">
        <f>IF(OR(O132="",P132=""),"! Worst and best values not specified. The tool will not consider this indicator",IF(P132&gt;O132,"! Best value cannot be higher than worst value. The tool will not consider this indicator",IF(AND(G132="",OR(O132&lt;&gt;"",P132&lt;&gt;"")),"! No current value. The tool will not consider this indicator",IF(OR(AND(O132&lt;G132,G132&lt;&gt;""),AND(O132&lt;H132,H132&lt;&gt;""),AND(O132&lt;I132,I132&lt;&gt;""),AND(O132&lt;J132,J132&lt;&gt;""),AND(O132&lt;K132,K132&lt;&gt;""),AND(O132&lt;L132,L132&lt;&gt;"")),"! Worst value cannot be lower than values for options.The tool will not consider this indicator",IF(OR(AND(P132&gt;G132,G132&lt;&gt;""),AND(P132&gt;H132,H132&lt;&gt;""),AND(P132&gt;I132,I132&lt;&gt;""),AND(P132&gt;J132,J132&lt;&gt;""),AND(P132&gt;K132,K132&lt;&gt;""),AND(P132&gt;L132,L132&lt;&gt;"")),"! Best value cannot be higher than values for options.The tool will not consider this indicator","")))))</f>
        <v>! Best value cannot be higher than worst value. The tool will not consider this indicator</v>
      </c>
      <c r="R132" s="170"/>
      <c r="S132" s="170"/>
      <c r="T132" s="170"/>
      <c r="U132" s="170"/>
      <c r="V132" s="170"/>
      <c r="W132" s="170"/>
      <c r="X132" s="170"/>
      <c r="Y132" s="170"/>
      <c r="Z132" s="31"/>
      <c r="AA132" s="29"/>
      <c r="AB132" s="29"/>
      <c r="AC132" s="29"/>
      <c r="AD132" s="29"/>
    </row>
    <row r="133" spans="2:30" ht="15" customHeight="1">
      <c r="B133" s="34"/>
      <c r="C133" s="293" t="str">
        <f>PTAout!C153</f>
        <v>Sitting (street furniture)</v>
      </c>
      <c r="D133" s="47"/>
      <c r="E133" s="27"/>
      <c r="F133" s="370"/>
      <c r="G133" s="296"/>
      <c r="H133" s="296"/>
      <c r="I133" s="296"/>
      <c r="J133" s="296"/>
      <c r="K133" s="296"/>
      <c r="L133" s="296"/>
      <c r="M133" s="67"/>
      <c r="N133" s="304"/>
      <c r="O133" s="177"/>
      <c r="P133" s="177"/>
      <c r="Q133" s="479"/>
      <c r="R133" s="177"/>
      <c r="S133" s="177"/>
      <c r="T133" s="177"/>
      <c r="U133" s="177"/>
      <c r="V133" s="177"/>
      <c r="W133" s="177"/>
      <c r="X133" s="177"/>
      <c r="Y133" s="177"/>
      <c r="Z133" s="36"/>
      <c r="AA133" s="29"/>
      <c r="AB133" s="29"/>
      <c r="AC133" s="29"/>
      <c r="AD133" s="29"/>
    </row>
    <row r="134" spans="2:30" ht="15" customHeight="1">
      <c r="B134" s="30"/>
      <c r="C134" s="29"/>
      <c r="D134" s="47" t="str">
        <f>PTAout!D154</f>
        <v>Space</v>
      </c>
      <c r="E134" s="27"/>
      <c r="F134" s="190" t="str">
        <f>PTAout!F154</f>
        <v>Width available</v>
      </c>
      <c r="G134" s="270" t="str">
        <f>PTAout!H154</f>
        <v/>
      </c>
      <c r="H134" s="270" t="str">
        <f>PTAout!L154</f>
        <v/>
      </c>
      <c r="I134" s="270" t="str">
        <f>PTAout!Q154</f>
        <v/>
      </c>
      <c r="J134" s="270" t="str">
        <f>PTAout!V154</f>
        <v/>
      </c>
      <c r="K134" s="270" t="str">
        <f>PTAout!AA154</f>
        <v/>
      </c>
      <c r="L134" s="270" t="str">
        <f>PTAout!AF154</f>
        <v/>
      </c>
      <c r="M134" s="45"/>
      <c r="N134" s="919" t="s">
        <v>744</v>
      </c>
      <c r="O134" s="211">
        <v>0</v>
      </c>
      <c r="P134" s="113">
        <v>10</v>
      </c>
      <c r="Q134" s="473" t="str">
        <f>IF(OR(O134="",P134=""),"! Worst and best values not specified. The tool will not consider this indicator",IF(P134&lt;O134,"! Best value cannot be lower than worst value.The tool will not consider this indicator",IF(AND(G134="",OR(O134&lt;&gt;"",P134&lt;&gt;"")),"! No current value. The tool will not consider this indicator",IF(OR(AND(O134&gt;G134,G134&lt;&gt;""),AND(O134&gt;H134,H134&lt;&gt;""),AND(O134&gt;I134,I134&lt;&gt;""),AND(O134&gt;J134,I134&lt;&gt;""),AND(O134&gt;K134,K134&lt;&gt;""),AND(O134&gt;L134,L134&lt;&gt;"")),"! Worst value cannot be higher than values for options.The tool will not consider this indicator",IF(OR(AND(P134&lt;G134,G134&lt;&gt;""),AND(P134&lt;H134,H134&lt;&gt;""),AND(P134&lt;I134,I134&lt;&gt;""),AND(P134&lt;J134,J134&lt;&gt;""),AND(P134&lt;K134,K134&lt;&gt;""),AND(P134&lt;L134,L134&lt;&gt;"")),"! Best value cannot be lower than values for options. The tool will not consider this indicator","")))))</f>
        <v>! No current value. The tool will not consider this indicator</v>
      </c>
      <c r="R134" s="170"/>
      <c r="S134" s="170"/>
      <c r="T134" s="170"/>
      <c r="U134" s="170"/>
      <c r="V134" s="170"/>
      <c r="W134" s="170"/>
      <c r="X134" s="170"/>
      <c r="Y134" s="170"/>
      <c r="Z134" s="31"/>
      <c r="AA134" s="29"/>
      <c r="AB134" s="29"/>
      <c r="AC134" s="29"/>
      <c r="AD134" s="29"/>
    </row>
    <row r="135" spans="2:30" ht="15" customHeight="1">
      <c r="B135" s="30"/>
      <c r="C135" s="29"/>
      <c r="D135" s="47" t="str">
        <f>PTAout!D155</f>
        <v>Number of activities</v>
      </c>
      <c r="E135" s="27"/>
      <c r="F135" s="190" t="str">
        <f>PTAout!F155</f>
        <v/>
      </c>
      <c r="G135" s="270" t="str">
        <f>PTAout!H155</f>
        <v/>
      </c>
      <c r="H135" s="270" t="str">
        <f>PTAout!L155</f>
        <v/>
      </c>
      <c r="I135" s="270" t="str">
        <f>PTAout!Q155</f>
        <v/>
      </c>
      <c r="J135" s="270" t="str">
        <f>PTAout!V155</f>
        <v/>
      </c>
      <c r="K135" s="270" t="str">
        <f>PTAout!AA155</f>
        <v/>
      </c>
      <c r="L135" s="270" t="str">
        <f>PTAout!AF155</f>
        <v/>
      </c>
      <c r="M135" s="45"/>
      <c r="N135" s="919" t="s">
        <v>744</v>
      </c>
      <c r="O135" s="113">
        <v>0</v>
      </c>
      <c r="P135" s="113">
        <v>500</v>
      </c>
      <c r="Q135" s="473" t="str">
        <f>IF(OR(O135="",P135=""),"! Worst and best values not specified. The tool will not consider this indicator",IF(P135&lt;O135,"! Best value cannot be lower than worst value.The tool will not consider this indicator",IF(AND(G135="",OR(O135&lt;&gt;"",P135&lt;&gt;"")),"! No current value. The tool will not consider this indicator",IF(OR(AND(O135&gt;G135,G135&lt;&gt;""),AND(O135&gt;H135,H135&lt;&gt;""),AND(O135&gt;I135,I135&lt;&gt;""),AND(O135&gt;J135,I135&lt;&gt;""),AND(O135&gt;K135,K135&lt;&gt;""),AND(O135&gt;L135,L135&lt;&gt;"")),"! Worst value cannot be higher than values for options.The tool will not consider this indicator",IF(OR(AND(P135&lt;G135,G135&lt;&gt;""),AND(P135&lt;H135,H135&lt;&gt;""),AND(P135&lt;I135,I135&lt;&gt;""),AND(P135&lt;J135,J135&lt;&gt;""),AND(P135&lt;K135,K135&lt;&gt;""),AND(P135&lt;L135,L135&lt;&gt;"")),"! Best value cannot be lower than values for options. The tool will not consider this indicator","")))))</f>
        <v>! No current value. The tool will not consider this indicator</v>
      </c>
      <c r="R135" s="170"/>
      <c r="S135" s="170"/>
      <c r="T135" s="170"/>
      <c r="U135" s="170"/>
      <c r="V135" s="170"/>
      <c r="W135" s="170"/>
      <c r="X135" s="170"/>
      <c r="Y135" s="170"/>
      <c r="Z135" s="31"/>
      <c r="AA135" s="29"/>
      <c r="AB135" s="29"/>
      <c r="AC135" s="29"/>
      <c r="AD135" s="29"/>
    </row>
    <row r="136" spans="2:30" ht="15" customHeight="1">
      <c r="B136" s="30"/>
      <c r="C136" s="29"/>
      <c r="D136" s="47" t="str">
        <f>PTAout!D156</f>
        <v>Duration</v>
      </c>
      <c r="E136" s="27"/>
      <c r="F136" s="190" t="str">
        <f>PTAout!F156</f>
        <v/>
      </c>
      <c r="G136" s="270" t="str">
        <f>PTAout!H156</f>
        <v/>
      </c>
      <c r="H136" s="270" t="str">
        <f>PTAout!L156</f>
        <v/>
      </c>
      <c r="I136" s="270" t="str">
        <f>PTAout!Q156</f>
        <v/>
      </c>
      <c r="J136" s="270" t="str">
        <f>PTAout!V156</f>
        <v/>
      </c>
      <c r="K136" s="270" t="str">
        <f>PTAout!AA156</f>
        <v/>
      </c>
      <c r="L136" s="270" t="str">
        <f>PTAout!AF156</f>
        <v/>
      </c>
      <c r="M136" s="45"/>
      <c r="N136" s="919" t="s">
        <v>744</v>
      </c>
      <c r="O136" s="112">
        <v>0</v>
      </c>
      <c r="P136" s="112">
        <v>30</v>
      </c>
      <c r="Q136" s="473" t="str">
        <f>IF(OR(O136="",P136=""),"! Worst and best values not specified. The tool will not consider this indicator",IF(P136&lt;O136,"! Best value cannot be lower than worst value.The tool will not consider this indicator",IF(AND(G136="",OR(O136&lt;&gt;"",P136&lt;&gt;"")),"! No current value. The tool will not consider this indicator",IF(OR(AND(O136&gt;G136,G136&lt;&gt;""),AND(O136&gt;H136,H136&lt;&gt;""),AND(O136&gt;I136,I136&lt;&gt;""),AND(O136&gt;J136,I136&lt;&gt;""),AND(O136&gt;K136,K136&lt;&gt;""),AND(O136&gt;L136,L136&lt;&gt;"")),"! Worst value cannot be higher than values for options.The tool will not consider this indicator",IF(OR(AND(P136&lt;G136,G136&lt;&gt;""),AND(P136&lt;H136,H136&lt;&gt;""),AND(P136&lt;I136,I136&lt;&gt;""),AND(P136&lt;J136,J136&lt;&gt;""),AND(P136&lt;K136,K136&lt;&gt;""),AND(P136&lt;L136,L136&lt;&gt;"")),"! Best value cannot be lower than values for options. The tool will not consider this indicator","")))))</f>
        <v>! No current value. The tool will not consider this indicator</v>
      </c>
      <c r="R136" s="170"/>
      <c r="S136" s="170"/>
      <c r="T136" s="170"/>
      <c r="U136" s="170"/>
      <c r="V136" s="170"/>
      <c r="W136" s="170"/>
      <c r="X136" s="170"/>
      <c r="Y136" s="170"/>
      <c r="Z136" s="31"/>
      <c r="AA136" s="29"/>
      <c r="AB136" s="29"/>
      <c r="AC136" s="29"/>
      <c r="AD136" s="29"/>
    </row>
    <row r="137" spans="2:30" ht="16.5" customHeight="1">
      <c r="B137" s="34"/>
      <c r="C137" s="59"/>
      <c r="D137" s="85" t="str">
        <f>PTAout!D157</f>
        <v>Quality</v>
      </c>
      <c r="E137" s="60"/>
      <c r="F137" s="294" t="str">
        <f>PTAout!F157</f>
        <v/>
      </c>
      <c r="G137" s="295" t="str">
        <f>PTAout!H157</f>
        <v/>
      </c>
      <c r="H137" s="295" t="str">
        <f>PTAout!L157</f>
        <v/>
      </c>
      <c r="I137" s="295" t="str">
        <f>PTAout!Q157</f>
        <v/>
      </c>
      <c r="J137" s="295" t="str">
        <f>PTAout!V157</f>
        <v/>
      </c>
      <c r="K137" s="295" t="str">
        <f>PTAout!AA157</f>
        <v/>
      </c>
      <c r="L137" s="295" t="str">
        <f>PTAout!AF157</f>
        <v/>
      </c>
      <c r="M137" s="67"/>
      <c r="N137" s="919" t="s">
        <v>743</v>
      </c>
      <c r="O137" s="454">
        <v>0</v>
      </c>
      <c r="P137" s="454">
        <v>100</v>
      </c>
      <c r="Q137" s="478" t="str">
        <f>IF(OR(O137="",P137=""),"! Worst and best values not specified. The tool will not consider this indicator",IF(P137&gt;O137,"! Best value cannot be higher than worst value. The tool will not consider this indicator",IF(AND(G137="",OR(O137&lt;&gt;"",P137&lt;&gt;"")),"! No current value. The tool will not consider this indicator",IF(OR(AND(O137&lt;G137,G137&lt;&gt;""),AND(O137&lt;H137,H137&lt;&gt;""),AND(O137&lt;I137,I137&lt;&gt;""),AND(O137&lt;J137,J137&lt;&gt;""),AND(O137&lt;K137,K137&lt;&gt;""),AND(O137&lt;L137,L137&lt;&gt;"")),"! Worst value cannot be lower than values for options.The tool will not consider this indicator",IF(OR(AND(P137&gt;G137,G137&lt;&gt;""),AND(P137&gt;H137,H137&lt;&gt;""),AND(P137&gt;I137,I137&lt;&gt;""),AND(P137&gt;J137,J137&lt;&gt;""),AND(P137&gt;K137,K137&lt;&gt;""),AND(P137&gt;L137,L137&lt;&gt;"")),"! Best value cannot be higher than values for options.The tool will not consider this indicator","")))))</f>
        <v>! Best value cannot be higher than worst value. The tool will not consider this indicator</v>
      </c>
      <c r="R137" s="170"/>
      <c r="S137" s="170"/>
      <c r="T137" s="170"/>
      <c r="U137" s="170"/>
      <c r="V137" s="170"/>
      <c r="W137" s="170"/>
      <c r="X137" s="170"/>
      <c r="Y137" s="170"/>
      <c r="Z137" s="36"/>
      <c r="AA137" s="29"/>
      <c r="AB137" s="29"/>
      <c r="AC137" s="29"/>
      <c r="AD137" s="29"/>
    </row>
    <row r="138" spans="2:30" ht="15" customHeight="1">
      <c r="B138" s="30"/>
      <c r="C138" s="293" t="str">
        <f>PTAout!C158</f>
        <v>Sitting (outdoor cafe)</v>
      </c>
      <c r="D138" s="47"/>
      <c r="E138" s="27"/>
      <c r="F138" s="370"/>
      <c r="G138" s="296"/>
      <c r="H138" s="296"/>
      <c r="I138" s="296"/>
      <c r="J138" s="296"/>
      <c r="K138" s="296"/>
      <c r="L138" s="297"/>
      <c r="M138" s="45"/>
      <c r="N138" s="178"/>
      <c r="O138" s="177"/>
      <c r="P138" s="177"/>
      <c r="Q138" s="477"/>
      <c r="R138" s="177"/>
      <c r="S138" s="177"/>
      <c r="T138" s="177"/>
      <c r="U138" s="177"/>
      <c r="V138" s="177"/>
      <c r="W138" s="177"/>
      <c r="X138" s="177"/>
      <c r="Y138" s="177"/>
      <c r="Z138" s="31"/>
      <c r="AA138" s="29"/>
      <c r="AB138" s="29"/>
      <c r="AC138" s="29"/>
      <c r="AD138" s="29"/>
    </row>
    <row r="139" spans="2:30" ht="15" customHeight="1">
      <c r="B139" s="30"/>
      <c r="C139" s="29"/>
      <c r="D139" s="47" t="str">
        <f>PTAout!D159</f>
        <v>Space</v>
      </c>
      <c r="E139" s="27"/>
      <c r="F139" s="190" t="str">
        <f>PTAout!F159</f>
        <v>Width available</v>
      </c>
      <c r="G139" s="270" t="str">
        <f>PTAout!H159</f>
        <v/>
      </c>
      <c r="H139" s="270" t="str">
        <f>PTAout!L159</f>
        <v/>
      </c>
      <c r="I139" s="270" t="str">
        <f>PTAout!Q159</f>
        <v/>
      </c>
      <c r="J139" s="270" t="str">
        <f>PTAout!V159</f>
        <v/>
      </c>
      <c r="K139" s="270" t="str">
        <f>PTAout!AA159</f>
        <v/>
      </c>
      <c r="L139" s="270" t="str">
        <f>PTAout!AF159</f>
        <v/>
      </c>
      <c r="M139" s="45"/>
      <c r="N139" s="919" t="s">
        <v>744</v>
      </c>
      <c r="O139" s="211">
        <v>0</v>
      </c>
      <c r="P139" s="113">
        <v>10</v>
      </c>
      <c r="Q139" s="473" t="str">
        <f>IF(OR(O139="",P139=""),"! Worst and best values not specified. The tool will not consider this indicator",IF(P139&lt;O139,"! Best value cannot be lower than worst value.The tool will not consider this indicator",IF(AND(G139="",OR(O139&lt;&gt;"",P139&lt;&gt;"")),"! No current value. The tool will not consider this indicator",IF(OR(AND(O139&gt;G139,G139&lt;&gt;""),AND(O139&gt;H139,H139&lt;&gt;""),AND(O139&gt;I139,I139&lt;&gt;""),AND(O139&gt;J139,I139&lt;&gt;""),AND(O139&gt;K139,K139&lt;&gt;""),AND(O139&gt;L139,L139&lt;&gt;"")),"! Worst value cannot be higher than values for options.The tool will not consider this indicator",IF(OR(AND(P139&lt;G139,G139&lt;&gt;""),AND(P139&lt;H139,H139&lt;&gt;""),AND(P139&lt;I139,I139&lt;&gt;""),AND(P139&lt;J139,J139&lt;&gt;""),AND(P139&lt;K139,K139&lt;&gt;""),AND(P139&lt;L139,L139&lt;&gt;"")),"! Best value cannot be lower than values for options. The tool will not consider this indicator","")))))</f>
        <v>! No current value. The tool will not consider this indicator</v>
      </c>
      <c r="R139" s="170"/>
      <c r="S139" s="170"/>
      <c r="T139" s="170"/>
      <c r="U139" s="170"/>
      <c r="V139" s="170"/>
      <c r="W139" s="170"/>
      <c r="X139" s="170"/>
      <c r="Y139" s="170"/>
      <c r="Z139" s="31"/>
      <c r="AA139" s="29"/>
      <c r="AB139" s="29"/>
      <c r="AC139" s="29"/>
      <c r="AD139" s="29"/>
    </row>
    <row r="140" spans="2:30" ht="15" customHeight="1">
      <c r="B140" s="30"/>
      <c r="C140" s="29"/>
      <c r="D140" s="47" t="str">
        <f>PTAout!D160</f>
        <v>Number of activities</v>
      </c>
      <c r="E140" s="27"/>
      <c r="F140" s="190" t="str">
        <f>PTAout!F160</f>
        <v/>
      </c>
      <c r="G140" s="270" t="str">
        <f>PTAout!H160</f>
        <v/>
      </c>
      <c r="H140" s="270" t="str">
        <f>PTAout!L160</f>
        <v/>
      </c>
      <c r="I140" s="270" t="str">
        <f>PTAout!Q160</f>
        <v/>
      </c>
      <c r="J140" s="270" t="str">
        <f>PTAout!V160</f>
        <v/>
      </c>
      <c r="K140" s="270" t="str">
        <f>PTAout!AA160</f>
        <v/>
      </c>
      <c r="L140" s="270" t="str">
        <f>PTAout!AF160</f>
        <v/>
      </c>
      <c r="M140" s="45"/>
      <c r="N140" s="919" t="s">
        <v>744</v>
      </c>
      <c r="O140" s="113">
        <v>0</v>
      </c>
      <c r="P140" s="113">
        <v>1000</v>
      </c>
      <c r="Q140" s="473" t="str">
        <f>IF(OR(O140="",P140=""),"! Worst and best values not specified. The tool will not consider this indicator",IF(P140&lt;O140,"! Best value cannot be lower than worst value.The tool will not consider this indicator",IF(AND(G140="",OR(O140&lt;&gt;"",P140&lt;&gt;"")),"! No current value. The tool will not consider this indicator",IF(OR(AND(O140&gt;G140,G140&lt;&gt;""),AND(O140&gt;H140,H140&lt;&gt;""),AND(O140&gt;I140,I140&lt;&gt;""),AND(O140&gt;J140,I140&lt;&gt;""),AND(O140&gt;K140,K140&lt;&gt;""),AND(O140&gt;L140,L140&lt;&gt;"")),"! Worst value cannot be higher than values for options.The tool will not consider this indicator",IF(OR(AND(P140&lt;G140,G140&lt;&gt;""),AND(P140&lt;H140,H140&lt;&gt;""),AND(P140&lt;I140,I140&lt;&gt;""),AND(P140&lt;J140,J140&lt;&gt;""),AND(P140&lt;K140,K140&lt;&gt;""),AND(P140&lt;L140,L140&lt;&gt;"")),"! Best value cannot be lower than values for options. The tool will not consider this indicator","")))))</f>
        <v>! No current value. The tool will not consider this indicator</v>
      </c>
      <c r="R140" s="170"/>
      <c r="S140" s="170"/>
      <c r="T140" s="170"/>
      <c r="U140" s="170"/>
      <c r="V140" s="170"/>
      <c r="W140" s="170"/>
      <c r="X140" s="170"/>
      <c r="Y140" s="170"/>
      <c r="Z140" s="31"/>
      <c r="AA140" s="29"/>
      <c r="AB140" s="29"/>
      <c r="AC140" s="29"/>
      <c r="AD140" s="29"/>
    </row>
    <row r="141" spans="2:30" ht="15" customHeight="1">
      <c r="B141" s="30"/>
      <c r="C141" s="29"/>
      <c r="D141" s="47" t="str">
        <f>PTAout!D161</f>
        <v>Duration</v>
      </c>
      <c r="E141" s="27"/>
      <c r="F141" s="190" t="str">
        <f>PTAout!F161</f>
        <v/>
      </c>
      <c r="G141" s="270" t="str">
        <f>PTAout!H161</f>
        <v/>
      </c>
      <c r="H141" s="270" t="str">
        <f>PTAout!L161</f>
        <v/>
      </c>
      <c r="I141" s="270" t="str">
        <f>PTAout!Q161</f>
        <v/>
      </c>
      <c r="J141" s="270" t="str">
        <f>PTAout!V161</f>
        <v/>
      </c>
      <c r="K141" s="270" t="str">
        <f>PTAout!AA161</f>
        <v/>
      </c>
      <c r="L141" s="270" t="str">
        <f>PTAout!AF161</f>
        <v/>
      </c>
      <c r="M141" s="45"/>
      <c r="N141" s="919" t="s">
        <v>744</v>
      </c>
      <c r="O141" s="112">
        <v>0</v>
      </c>
      <c r="P141" s="112">
        <v>30</v>
      </c>
      <c r="Q141" s="473" t="str">
        <f>IF(OR(O141="",P141=""),"! Worst and best values not specified. The tool will not consider this indicator",IF(P141&lt;O141,"! Best value cannot be lower than worst value.The tool will not consider this indicator",IF(AND(G141="",OR(O141&lt;&gt;"",P141&lt;&gt;"")),"! No current value. The tool will not consider this indicator",IF(OR(AND(O141&gt;G141,G141&lt;&gt;""),AND(O141&gt;H141,H141&lt;&gt;""),AND(O141&gt;I141,I141&lt;&gt;""),AND(O141&gt;J141,I141&lt;&gt;""),AND(O141&gt;K141,K141&lt;&gt;""),AND(O141&gt;L141,L141&lt;&gt;"")),"! Worst value cannot be higher than values for options.The tool will not consider this indicator",IF(OR(AND(P141&lt;G141,G141&lt;&gt;""),AND(P141&lt;H141,H141&lt;&gt;""),AND(P141&lt;I141,I141&lt;&gt;""),AND(P141&lt;J141,J141&lt;&gt;""),AND(P141&lt;K141,K141&lt;&gt;""),AND(P141&lt;L141,L141&lt;&gt;"")),"! Best value cannot be lower than values for options. The tool will not consider this indicator","")))))</f>
        <v>! No current value. The tool will not consider this indicator</v>
      </c>
      <c r="R141" s="170"/>
      <c r="S141" s="170"/>
      <c r="T141" s="170"/>
      <c r="U141" s="170"/>
      <c r="V141" s="170"/>
      <c r="W141" s="170"/>
      <c r="X141" s="170"/>
      <c r="Y141" s="170"/>
      <c r="Z141" s="31"/>
      <c r="AA141" s="29"/>
      <c r="AB141" s="29"/>
      <c r="AC141" s="29"/>
      <c r="AD141" s="29"/>
    </row>
    <row r="142" spans="2:30" ht="15" customHeight="1">
      <c r="B142" s="30"/>
      <c r="C142" s="59"/>
      <c r="D142" s="85" t="str">
        <f>PTAout!D162</f>
        <v>Quality</v>
      </c>
      <c r="E142" s="60"/>
      <c r="F142" s="294" t="str">
        <f>PTAout!F162</f>
        <v/>
      </c>
      <c r="G142" s="295" t="str">
        <f>PTAout!H162</f>
        <v/>
      </c>
      <c r="H142" s="295" t="str">
        <f>PTAout!L162</f>
        <v/>
      </c>
      <c r="I142" s="295" t="str">
        <f>PTAout!Q162</f>
        <v/>
      </c>
      <c r="J142" s="295" t="str">
        <f>PTAout!V162</f>
        <v/>
      </c>
      <c r="K142" s="295" t="str">
        <f>PTAout!AA162</f>
        <v/>
      </c>
      <c r="L142" s="295" t="str">
        <f>PTAout!AF162</f>
        <v/>
      </c>
      <c r="M142" s="45"/>
      <c r="N142" s="762" t="s">
        <v>743</v>
      </c>
      <c r="O142" s="454">
        <v>100</v>
      </c>
      <c r="P142" s="454">
        <v>1</v>
      </c>
      <c r="Q142" s="478" t="str">
        <f>IF(OR(O142="",P142=""),"! Worst and best values not specified. The tool will not consider this indicator",IF(P142&gt;O142,"! Best value cannot be higher than worst value. The tool will not consider this indicator",IF(AND(G142="",OR(O142&lt;&gt;"",P142&lt;&gt;"")),"! No current value. The tool will not consider this indicator",IF(OR(AND(O142&lt;G142,G142&lt;&gt;""),AND(O142&lt;H142,H142&lt;&gt;""),AND(O142&lt;I142,I142&lt;&gt;""),AND(O142&lt;J142,J142&lt;&gt;""),AND(O142&lt;K142,K142&lt;&gt;""),AND(O142&lt;L142,L142&lt;&gt;"")),"! Worst value cannot be lower than values for options.The tool will not consider this indicator",IF(OR(AND(P142&gt;G142,G142&lt;&gt;""),AND(P142&gt;H142,H142&lt;&gt;""),AND(P142&gt;I142,I142&lt;&gt;""),AND(P142&gt;J142,J142&lt;&gt;""),AND(P142&gt;K142,K142&lt;&gt;""),AND(P142&gt;L142,L142&lt;&gt;"")),"! Best value cannot be higher than values for options.The tool will not consider this indicator","")))))</f>
        <v>! No current value. The tool will not consider this indicator</v>
      </c>
      <c r="R142" s="170"/>
      <c r="S142" s="170"/>
      <c r="T142" s="170"/>
      <c r="U142" s="170"/>
      <c r="V142" s="170"/>
      <c r="W142" s="170"/>
      <c r="X142" s="170"/>
      <c r="Y142" s="170"/>
      <c r="Z142" s="31"/>
      <c r="AA142" s="29"/>
      <c r="AB142" s="29"/>
      <c r="AC142" s="29"/>
      <c r="AD142" s="29"/>
    </row>
    <row r="143" spans="2:30" ht="15" customHeight="1">
      <c r="B143" s="30"/>
      <c r="C143" s="29"/>
      <c r="D143" s="47"/>
      <c r="E143" s="27"/>
      <c r="F143" s="223"/>
      <c r="G143" s="296"/>
      <c r="H143" s="296"/>
      <c r="I143" s="296"/>
      <c r="J143" s="296"/>
      <c r="K143" s="296"/>
      <c r="L143" s="421"/>
      <c r="M143" s="45"/>
      <c r="N143" s="45"/>
      <c r="O143" s="211"/>
      <c r="P143" s="211"/>
      <c r="Q143" s="477"/>
      <c r="R143" s="211"/>
      <c r="S143" s="211"/>
      <c r="T143" s="211"/>
      <c r="U143" s="211"/>
      <c r="V143" s="211"/>
      <c r="W143" s="211"/>
      <c r="X143" s="211"/>
      <c r="Y143" s="211"/>
      <c r="Z143" s="31"/>
      <c r="AA143" s="29"/>
      <c r="AB143" s="29"/>
      <c r="AC143" s="29"/>
      <c r="AD143" s="29"/>
    </row>
    <row r="144" spans="2:30" ht="15" customHeight="1">
      <c r="B144" s="30"/>
      <c r="C144" s="86" t="str">
        <f>PTAout!C164</f>
        <v>Wider impacts</v>
      </c>
      <c r="D144" s="85"/>
      <c r="E144" s="60"/>
      <c r="F144" s="224"/>
      <c r="G144" s="422"/>
      <c r="H144" s="422"/>
      <c r="I144" s="422"/>
      <c r="J144" s="422"/>
      <c r="K144" s="422"/>
      <c r="L144" s="422"/>
      <c r="M144" s="45"/>
      <c r="N144" s="91"/>
      <c r="O144" s="298"/>
      <c r="P144" s="298"/>
      <c r="Q144" s="476"/>
      <c r="R144" s="298"/>
      <c r="S144" s="298"/>
      <c r="T144" s="298"/>
      <c r="U144" s="298"/>
      <c r="V144" s="298"/>
      <c r="W144" s="298"/>
      <c r="X144" s="298"/>
      <c r="Y144" s="298"/>
      <c r="Z144" s="31"/>
      <c r="AA144" s="29"/>
      <c r="AB144" s="29"/>
      <c r="AC144" s="29"/>
      <c r="AD144" s="29"/>
    </row>
    <row r="145" spans="2:30" ht="15" customHeight="1">
      <c r="B145" s="30"/>
      <c r="C145" s="293" t="str">
        <f>PTAout!C165</f>
        <v>Economic</v>
      </c>
      <c r="D145" s="49"/>
      <c r="E145" s="49"/>
      <c r="F145" s="67"/>
      <c r="G145" s="421"/>
      <c r="H145" s="421"/>
      <c r="I145" s="421"/>
      <c r="J145" s="421"/>
      <c r="K145" s="421"/>
      <c r="L145" s="417"/>
      <c r="M145" s="45"/>
      <c r="N145" s="45"/>
      <c r="O145" s="211"/>
      <c r="P145" s="211"/>
      <c r="Q145" s="477"/>
      <c r="R145" s="211"/>
      <c r="S145" s="211"/>
      <c r="T145" s="211"/>
      <c r="U145" s="211"/>
      <c r="V145" s="211"/>
      <c r="W145" s="211"/>
      <c r="X145" s="211"/>
      <c r="Y145" s="211"/>
      <c r="Z145" s="31"/>
      <c r="AA145" s="29"/>
      <c r="AB145" s="29"/>
      <c r="AC145" s="29"/>
      <c r="AD145" s="29"/>
    </row>
    <row r="146" spans="2:30" ht="15" customHeight="1">
      <c r="B146" s="30"/>
      <c r="C146" s="29"/>
      <c r="D146" s="47" t="str">
        <f>PTAout!D166</f>
        <v>Costs of transport</v>
      </c>
      <c r="E146" s="45"/>
      <c r="F146" s="190" t="str">
        <f>PTAout!F166</f>
        <v/>
      </c>
      <c r="G146" s="399" t="str">
        <f>PTAout!H166</f>
        <v/>
      </c>
      <c r="H146" s="458" t="str">
        <f>PTAout!L166</f>
        <v/>
      </c>
      <c r="I146" s="458" t="str">
        <f>PTAout!Q166</f>
        <v/>
      </c>
      <c r="J146" s="458" t="str">
        <f>PTAout!V166</f>
        <v/>
      </c>
      <c r="K146" s="458" t="str">
        <f>PTAout!AA166</f>
        <v/>
      </c>
      <c r="L146" s="743" t="str">
        <f>PTAout!AF166</f>
        <v/>
      </c>
      <c r="M146" s="45"/>
      <c r="N146" s="919" t="s">
        <v>743</v>
      </c>
      <c r="O146" s="211"/>
      <c r="P146" s="211"/>
      <c r="Q146" s="473" t="str">
        <f>IF(OR(O146="",P146=""),"! Worst and best values not specified. The tool will not consider this indicator",IF(P146&gt;O146,"! Best value cannot be higher than worst value. The tool will not consider this indicator",IF(AND(G146="",OR(O146&lt;&gt;"",P146&lt;&gt;"")),"! No current value. The tool will not consider this indicator",IF(OR(AND(O146&lt;G146,G146&lt;&gt;""),AND(O146&lt;H146,H146&lt;&gt;""),AND(O146&lt;I146,I146&lt;&gt;""),AND(O146&lt;J146,J146&lt;&gt;""),AND(O146&lt;K146,K146&lt;&gt;""),AND(O146&lt;L146,L146&lt;&gt;"")),"! Worst value cannot be lower than values for options.The tool will not consider this indicator",IF(OR(AND(P146&gt;G146,G146&lt;&gt;""),AND(P146&gt;H146,H146&lt;&gt;""),AND(P146&gt;I146,I146&lt;&gt;""),AND(P146&gt;J146,J146&lt;&gt;""),AND(P146&gt;K146,K146&lt;&gt;""),AND(P146&gt;L146,L146&lt;&gt;"")),"! Best value cannot be higher than values for options.The tool will not consider this indicator","")))))</f>
        <v>! Worst and best values not specified. The tool will not consider this indicator</v>
      </c>
      <c r="R146" s="170"/>
      <c r="S146" s="170"/>
      <c r="T146" s="170"/>
      <c r="U146" s="170"/>
      <c r="V146" s="170"/>
      <c r="W146" s="170"/>
      <c r="X146" s="170"/>
      <c r="Y146" s="170"/>
      <c r="Z146" s="31"/>
      <c r="AA146" s="29"/>
      <c r="AB146" s="29"/>
      <c r="AC146" s="29"/>
      <c r="AD146" s="29"/>
    </row>
    <row r="147" spans="2:30" ht="15" customHeight="1">
      <c r="B147" s="30"/>
      <c r="C147" s="29"/>
      <c r="D147" s="47" t="str">
        <f>PTAout!D167</f>
        <v>Property values</v>
      </c>
      <c r="E147" s="45"/>
      <c r="F147" s="190" t="str">
        <f>PTAout!F167</f>
        <v/>
      </c>
      <c r="G147" s="282" t="str">
        <f>PTAout!H167</f>
        <v/>
      </c>
      <c r="H147" s="282" t="str">
        <f>PTAout!L167</f>
        <v/>
      </c>
      <c r="I147" s="282" t="str">
        <f>PTAout!Q167</f>
        <v/>
      </c>
      <c r="J147" s="282" t="str">
        <f>PTAout!V167</f>
        <v/>
      </c>
      <c r="K147" s="282" t="str">
        <f>PTAout!AA167</f>
        <v/>
      </c>
      <c r="L147" s="282" t="str">
        <f>PTAout!AF167</f>
        <v/>
      </c>
      <c r="M147" s="45"/>
      <c r="N147" s="919" t="s">
        <v>744</v>
      </c>
      <c r="O147" s="113">
        <v>0</v>
      </c>
      <c r="P147" s="113">
        <v>5000</v>
      </c>
      <c r="Q147" s="473" t="str">
        <f>IF(OR(O147="",P147=""),"! Worst and best values not specified. The tool will not consider this indicator",IF(P147&lt;O147,"! Best value cannot be lower than worst value.The tool will not consider this indicator",IF(AND(G147="",OR(O147&lt;&gt;"",P147&lt;&gt;"")),"! No current value. The tool will not consider this indicator",IF(OR(AND(O147&gt;G147,G147&lt;&gt;""),AND(O147&gt;H147,H147&lt;&gt;""),AND(O147&gt;I147,I147&lt;&gt;""),AND(O147&gt;J147,I147&lt;&gt;""),AND(O147&gt;K147,K147&lt;&gt;""),AND(O147&gt;L147,L147&lt;&gt;"")),"! Worst value cannot be higher than values for options.The tool will not consider this indicator",IF(OR(AND(P147&lt;G147,G147&lt;&gt;""),AND(P147&lt;H147,H147&lt;&gt;""),AND(P147&lt;I147,I147&lt;&gt;""),AND(P147&lt;J147,J147&lt;&gt;""),AND(P147&lt;K147,K147&lt;&gt;""),AND(P147&lt;L147,L147&lt;&gt;"")),"! Best value cannot be lower than values for options. The tool will not consider this indicator","")))))</f>
        <v>! No current value. The tool will not consider this indicator</v>
      </c>
      <c r="R147" s="170"/>
      <c r="S147" s="170"/>
      <c r="T147" s="170"/>
      <c r="U147" s="170"/>
      <c r="V147" s="170"/>
      <c r="W147" s="170"/>
      <c r="X147" s="170"/>
      <c r="Y147" s="170"/>
      <c r="Z147" s="31"/>
      <c r="AA147" s="29"/>
      <c r="AB147" s="29"/>
      <c r="AC147" s="29"/>
      <c r="AD147" s="29"/>
    </row>
    <row r="148" spans="2:30" ht="15" customHeight="1">
      <c r="B148" s="30"/>
      <c r="C148" s="29"/>
      <c r="D148" s="47" t="str">
        <f>PTAout!D168</f>
        <v>Visits to local businesses</v>
      </c>
      <c r="E148" s="45"/>
      <c r="F148" s="190" t="str">
        <f>PTAout!F168</f>
        <v/>
      </c>
      <c r="G148" s="399" t="str">
        <f>PTAout!H168</f>
        <v/>
      </c>
      <c r="H148" s="458" t="str">
        <f>PTAout!L168</f>
        <v/>
      </c>
      <c r="I148" s="458" t="str">
        <f>PTAout!Q168</f>
        <v/>
      </c>
      <c r="J148" s="458" t="str">
        <f>PTAout!V168</f>
        <v/>
      </c>
      <c r="K148" s="458" t="str">
        <f>PTAout!AA168</f>
        <v/>
      </c>
      <c r="L148" s="458" t="str">
        <f>PTAout!AF168</f>
        <v/>
      </c>
      <c r="M148" s="45"/>
      <c r="N148" s="761" t="s">
        <v>744</v>
      </c>
      <c r="O148" s="113">
        <v>0</v>
      </c>
      <c r="P148" s="113">
        <v>5000</v>
      </c>
      <c r="Q148" s="473" t="str">
        <f>IF(OR(O148="",P148=""),"! Worst and best values not specified. The tool will not consider this indicator",IF(P148&lt;O148,"! Best value cannot be lower than worst value.The tool will not consider this indicator",IF(AND(G148="",OR(O148&lt;&gt;"",P148&lt;&gt;"")),"! No current value. The tool will not consider this indicator",IF(OR(AND(O148&gt;G148,G148&lt;&gt;""),AND(O148&gt;H148,H148&lt;&gt;""),AND(O148&gt;I148,I148&lt;&gt;""),AND(O148&gt;J148,I148&lt;&gt;""),AND(O148&gt;K148,K148&lt;&gt;""),AND(O148&gt;L148,L148&lt;&gt;"")),"! Worst value cannot be higher than values for options.The tool will not consider this indicator",IF(OR(AND(P148&lt;G148,G148&lt;&gt;""),AND(P148&lt;H148,H148&lt;&gt;""),AND(P148&lt;I148,I148&lt;&gt;""),AND(P148&lt;J148,J148&lt;&gt;""),AND(P148&lt;K148,K148&lt;&gt;""),AND(P148&lt;L148,L148&lt;&gt;"")),"! Best value cannot be lower than values for options. The tool will not consider this indicator","")))))</f>
        <v>! No current value. The tool will not consider this indicator</v>
      </c>
      <c r="R148" s="170"/>
      <c r="S148" s="170"/>
      <c r="T148" s="170"/>
      <c r="U148" s="170"/>
      <c r="V148" s="170"/>
      <c r="W148" s="170"/>
      <c r="X148" s="170"/>
      <c r="Y148" s="170"/>
      <c r="Z148" s="31"/>
      <c r="AA148" s="29"/>
      <c r="AB148" s="29"/>
      <c r="AC148" s="29"/>
      <c r="AD148" s="29"/>
    </row>
    <row r="149" spans="2:30" ht="15" customHeight="1">
      <c r="B149" s="30"/>
      <c r="C149" s="59"/>
      <c r="D149" s="85" t="str">
        <f>PTAout!D169</f>
        <v>Expenditure in local businesses</v>
      </c>
      <c r="E149" s="91"/>
      <c r="F149" s="294" t="str">
        <f>PTAout!F169</f>
        <v/>
      </c>
      <c r="G149" s="425" t="str">
        <f>PTAout!H169</f>
        <v/>
      </c>
      <c r="H149" s="425" t="str">
        <f>PTAout!L169</f>
        <v/>
      </c>
      <c r="I149" s="425" t="str">
        <f>PTAout!Q169</f>
        <v/>
      </c>
      <c r="J149" s="425" t="str">
        <f>PTAout!V169</f>
        <v/>
      </c>
      <c r="K149" s="425" t="str">
        <f>PTAout!AA169</f>
        <v/>
      </c>
      <c r="L149" s="425" t="str">
        <f>PTAout!AF169</f>
        <v/>
      </c>
      <c r="M149" s="45"/>
      <c r="N149" s="763" t="s">
        <v>744</v>
      </c>
      <c r="O149" s="299">
        <v>0</v>
      </c>
      <c r="P149" s="299">
        <v>50000</v>
      </c>
      <c r="Q149" s="478" t="str">
        <f>IF(OR(O149="",P149=""),"! Worst and best values not specified. The tool will not consider this indicator",IF(P149&lt;O149,"! Best value cannot be lower than worst value.The tool will not consider this indicator",IF(AND(G149="",OR(O149&lt;&gt;"",P149&lt;&gt;"")),"! No current value. The tool will not consider this indicator",IF(OR(AND(O149&gt;G149,G149&lt;&gt;""),AND(O149&gt;H149,H149&lt;&gt;""),AND(O149&gt;I149,I149&lt;&gt;""),AND(O149&gt;J149,I149&lt;&gt;""),AND(O149&gt;K149,K149&lt;&gt;""),AND(O149&gt;L149,L149&lt;&gt;"")),"! Worst value cannot be higher than values for options.The tool will not consider this indicator",IF(OR(AND(P149&lt;G149,G149&lt;&gt;""),AND(P149&lt;H149,H149&lt;&gt;""),AND(P149&lt;I149,I149&lt;&gt;""),AND(P149&lt;J149,J149&lt;&gt;""),AND(P149&lt;K149,K149&lt;&gt;""),AND(P149&lt;L149,L149&lt;&gt;"")),"! Best value cannot be lower than values for options. The tool will not consider this indicator","")))))</f>
        <v>! No current value. The tool will not consider this indicator</v>
      </c>
      <c r="R149" s="170"/>
      <c r="S149" s="170"/>
      <c r="T149" s="170"/>
      <c r="U149" s="170"/>
      <c r="V149" s="170"/>
      <c r="W149" s="170"/>
      <c r="X149" s="170"/>
      <c r="Y149" s="170"/>
      <c r="Z149" s="31"/>
      <c r="AA149" s="29"/>
      <c r="AB149" s="29"/>
      <c r="AC149" s="29"/>
      <c r="AD149" s="29"/>
    </row>
    <row r="150" spans="2:30" ht="15" customHeight="1">
      <c r="B150" s="30"/>
      <c r="C150" s="293" t="str">
        <f>PTAout!C170</f>
        <v>Social</v>
      </c>
      <c r="D150" s="49"/>
      <c r="E150" s="49"/>
      <c r="F150" s="67"/>
      <c r="G150" s="426"/>
      <c r="H150" s="426"/>
      <c r="I150" s="426"/>
      <c r="J150" s="426"/>
      <c r="K150" s="426"/>
      <c r="L150" s="426"/>
      <c r="M150" s="45"/>
      <c r="N150" s="178"/>
      <c r="O150" s="177"/>
      <c r="P150" s="177"/>
      <c r="Q150" s="477"/>
      <c r="R150" s="177"/>
      <c r="S150" s="177"/>
      <c r="T150" s="177"/>
      <c r="U150" s="177"/>
      <c r="V150" s="177"/>
      <c r="W150" s="177"/>
      <c r="X150" s="177"/>
      <c r="Y150" s="177"/>
      <c r="Z150" s="31"/>
      <c r="AA150" s="29"/>
      <c r="AB150" s="29"/>
      <c r="AC150" s="29"/>
      <c r="AD150" s="29"/>
    </row>
    <row r="151" spans="2:30" ht="15" customHeight="1">
      <c r="B151" s="30"/>
      <c r="C151" s="29"/>
      <c r="D151" s="47" t="str">
        <f>PTAout!D171</f>
        <v>Traffic safety (fatalities)</v>
      </c>
      <c r="E151" s="45"/>
      <c r="F151" s="190" t="str">
        <f>PTAout!F171</f>
        <v/>
      </c>
      <c r="G151" s="309" t="str">
        <f>PTAout!H171</f>
        <v/>
      </c>
      <c r="H151" s="309" t="str">
        <f>PTAout!L171</f>
        <v/>
      </c>
      <c r="I151" s="309" t="str">
        <f>PTAout!Q171</f>
        <v/>
      </c>
      <c r="J151" s="309" t="str">
        <f>PTAout!V171</f>
        <v/>
      </c>
      <c r="K151" s="309" t="str">
        <f>PTAout!AA171</f>
        <v/>
      </c>
      <c r="L151" s="309" t="str">
        <f>PTAout!AF171</f>
        <v/>
      </c>
      <c r="M151" s="45"/>
      <c r="N151" s="919" t="s">
        <v>743</v>
      </c>
      <c r="O151" s="113">
        <v>6</v>
      </c>
      <c r="P151" s="113">
        <v>0</v>
      </c>
      <c r="Q151" s="473" t="str">
        <f>IF(OR(O151="",P151=""),"! Worst and best values not specified. The tool will not consider this indicator",IF(P151&lt;O151,"! Best value cannot be lower than worst value.The tool will not consider this indicator",IF(AND(G151="",OR(O151&lt;&gt;"",P151&lt;&gt;"")),"! No current value. The tool will not consider this indicator",IF(OR(AND(O151&gt;G151,G151&lt;&gt;""),AND(O151&gt;H151,H151&lt;&gt;""),AND(O151&gt;I151,I151&lt;&gt;""),AND(O151&gt;J151,I151&lt;&gt;""),AND(O151&gt;K151,K151&lt;&gt;""),AND(O151&gt;L151,L151&lt;&gt;"")),"! Worst value cannot be higher than values for options.The tool will not consider this indicator",IF(OR(AND(P151&lt;G151,G151&lt;&gt;""),AND(P151&lt;H151,H151&lt;&gt;""),AND(P151&lt;I151,I151&lt;&gt;""),AND(P151&lt;J151,J151&lt;&gt;""),AND(P151&lt;K151,K151&lt;&gt;""),AND(P151&lt;L151,L151&lt;&gt;"")),"! Best value cannot be lower than values for options. The tool will not consider this indicator","")))))</f>
        <v>! Best value cannot be lower than worst value.The tool will not consider this indicator</v>
      </c>
      <c r="R151" s="170"/>
      <c r="S151" s="170"/>
      <c r="T151" s="170"/>
      <c r="U151" s="170"/>
      <c r="V151" s="170"/>
      <c r="W151" s="170"/>
      <c r="X151" s="170"/>
      <c r="Y151" s="170"/>
      <c r="Z151" s="31"/>
      <c r="AA151" s="29"/>
      <c r="AB151" s="29"/>
      <c r="AC151" s="29"/>
      <c r="AD151" s="29"/>
    </row>
    <row r="152" spans="2:30" ht="15" customHeight="1">
      <c r="B152" s="30"/>
      <c r="C152" s="29"/>
      <c r="D152" s="47" t="str">
        <f>PTAout!D172</f>
        <v>Traffic safety (seriousinjuries)</v>
      </c>
      <c r="E152" s="45"/>
      <c r="F152" s="190" t="str">
        <f>PTAout!F172</f>
        <v/>
      </c>
      <c r="G152" s="309" t="str">
        <f>PTAout!H172</f>
        <v/>
      </c>
      <c r="H152" s="309" t="str">
        <f>PTAout!L172</f>
        <v/>
      </c>
      <c r="I152" s="309" t="str">
        <f>PTAout!Q172</f>
        <v/>
      </c>
      <c r="J152" s="309" t="str">
        <f>PTAout!V172</f>
        <v/>
      </c>
      <c r="K152" s="309" t="str">
        <f>PTAout!AA172</f>
        <v/>
      </c>
      <c r="L152" s="309" t="str">
        <f>PTAout!AF172</f>
        <v/>
      </c>
      <c r="M152" s="45"/>
      <c r="N152" s="761" t="s">
        <v>743</v>
      </c>
      <c r="O152" s="113">
        <v>6</v>
      </c>
      <c r="P152" s="113">
        <v>0</v>
      </c>
      <c r="Q152" s="473" t="str">
        <f>IF(OR(O152="",P152=""),"! Worst and best values not specified. The tool will not consider this indicator",IF(P152&lt;O152,"! Best value cannot be lower than worst value.The tool will not consider this indicator",IF(AND(G152="",OR(O152&lt;&gt;"",P152&lt;&gt;"")),"! No current value. The tool will not consider this indicator",IF(OR(AND(O152&gt;G152,G152&lt;&gt;""),AND(O152&gt;H152,H152&lt;&gt;""),AND(O152&gt;I152,I152&lt;&gt;""),AND(O152&gt;J152,I152&lt;&gt;""),AND(O152&gt;K152,K152&lt;&gt;""),AND(O152&gt;L152,L152&lt;&gt;"")),"! Worst value cannot be higher than values for options.The tool will not consider this indicator",IF(OR(AND(P152&lt;G152,G152&lt;&gt;""),AND(P152&lt;H152,H152&lt;&gt;""),AND(P152&lt;I152,I152&lt;&gt;""),AND(P152&lt;J152,J152&lt;&gt;""),AND(P152&lt;K152,K152&lt;&gt;""),AND(P152&lt;L152,L152&lt;&gt;"")),"! Best value cannot be lower than values for options. The tool will not consider this indicator","")))))</f>
        <v>! Best value cannot be lower than worst value.The tool will not consider this indicator</v>
      </c>
      <c r="R152" s="170"/>
      <c r="S152" s="170"/>
      <c r="T152" s="170"/>
      <c r="U152" s="170"/>
      <c r="V152" s="170"/>
      <c r="W152" s="170"/>
      <c r="X152" s="170"/>
      <c r="Y152" s="170"/>
      <c r="Z152" s="31"/>
      <c r="AA152" s="29"/>
      <c r="AB152" s="29"/>
      <c r="AC152" s="29"/>
      <c r="AD152" s="29"/>
    </row>
    <row r="153" spans="2:30" ht="15" customHeight="1">
      <c r="B153" s="30"/>
      <c r="C153" s="29"/>
      <c r="D153" s="47" t="str">
        <f>PTAout!D173</f>
        <v>Traffic safety (slight injuries)</v>
      </c>
      <c r="E153" s="45"/>
      <c r="F153" s="190" t="str">
        <f>PTAout!F173</f>
        <v/>
      </c>
      <c r="G153" s="309" t="str">
        <f>PTAout!H173</f>
        <v/>
      </c>
      <c r="H153" s="309" t="str">
        <f>PTAout!L173</f>
        <v/>
      </c>
      <c r="I153" s="309" t="str">
        <f>PTAout!Q173</f>
        <v/>
      </c>
      <c r="J153" s="309" t="str">
        <f>PTAout!V173</f>
        <v/>
      </c>
      <c r="K153" s="309" t="str">
        <f>PTAout!AA173</f>
        <v/>
      </c>
      <c r="L153" s="309" t="str">
        <f>PTAout!AF173</f>
        <v/>
      </c>
      <c r="M153" s="45"/>
      <c r="N153" s="761" t="s">
        <v>743</v>
      </c>
      <c r="O153" s="113">
        <v>6</v>
      </c>
      <c r="P153" s="113">
        <v>0</v>
      </c>
      <c r="Q153" s="473" t="str">
        <f>IF(OR(O153="",P153=""),"! Worst and best values not specified. The tool will not consider this indicator",IF(P153&lt;O153,"! Best value cannot be lower than worst value.The tool will not consider this indicator",IF(AND(G153="",OR(O153&lt;&gt;"",P153&lt;&gt;"")),"! No current value. The tool will not consider this indicator",IF(OR(AND(O153&gt;G153,G153&lt;&gt;""),AND(O153&gt;H153,H153&lt;&gt;""),AND(O153&gt;I153,I153&lt;&gt;""),AND(O153&gt;J153,I153&lt;&gt;""),AND(O153&gt;K153,K153&lt;&gt;""),AND(O153&gt;L153,L153&lt;&gt;"")),"! Worst value cannot be higher than values for options.The tool will not consider this indicator",IF(OR(AND(P153&lt;G153,G153&lt;&gt;""),AND(P153&lt;H153,H153&lt;&gt;""),AND(P153&lt;I153,I153&lt;&gt;""),AND(P153&lt;J153,J153&lt;&gt;""),AND(P153&lt;K153,K153&lt;&gt;""),AND(P153&lt;L153,L153&lt;&gt;"")),"! Best value cannot be lower than values for options. The tool will not consider this indicator","")))))</f>
        <v>! Best value cannot be lower than worst value.The tool will not consider this indicator</v>
      </c>
      <c r="R153" s="170"/>
      <c r="S153" s="170"/>
      <c r="T153" s="170"/>
      <c r="U153" s="170"/>
      <c r="V153" s="170"/>
      <c r="W153" s="170"/>
      <c r="X153" s="170"/>
      <c r="Y153" s="170"/>
      <c r="Z153" s="31"/>
      <c r="AA153" s="29"/>
      <c r="AB153" s="29"/>
      <c r="AC153" s="29"/>
      <c r="AD153" s="29"/>
    </row>
    <row r="154" spans="2:30" ht="15" customHeight="1">
      <c r="B154" s="30"/>
      <c r="C154" s="29"/>
      <c r="D154" s="47" t="str">
        <f>PTAout!D174</f>
        <v>Traffic safety (property damage)</v>
      </c>
      <c r="E154" s="45"/>
      <c r="F154" s="190" t="str">
        <f>PTAout!F174</f>
        <v/>
      </c>
      <c r="G154" s="309" t="str">
        <f>PTAout!H174</f>
        <v/>
      </c>
      <c r="H154" s="309" t="str">
        <f>PTAout!L174</f>
        <v/>
      </c>
      <c r="I154" s="309" t="str">
        <f>PTAout!Q174</f>
        <v/>
      </c>
      <c r="J154" s="309" t="str">
        <f>PTAout!V174</f>
        <v/>
      </c>
      <c r="K154" s="309" t="str">
        <f>PTAout!AA174</f>
        <v/>
      </c>
      <c r="L154" s="309" t="str">
        <f>PTAout!AF174</f>
        <v/>
      </c>
      <c r="M154" s="45"/>
      <c r="N154" s="761" t="s">
        <v>743</v>
      </c>
      <c r="O154" s="113">
        <v>6</v>
      </c>
      <c r="P154" s="113">
        <v>0</v>
      </c>
      <c r="Q154" s="473" t="str">
        <f>IF(OR(O154="",P154=""),"! Worst and best values not specified. The tool will not consider this indicator",IF(P154&lt;O154,"! Best value cannot be lower than worst value.The tool will not consider this indicator",IF(AND(G154="",OR(O154&lt;&gt;"",P154&lt;&gt;"")),"! No current value. The tool will not consider this indicator",IF(OR(AND(O154&gt;G154,G154&lt;&gt;""),AND(O154&gt;H154,H154&lt;&gt;""),AND(O154&gt;I154,I154&lt;&gt;""),AND(O154&gt;J154,I154&lt;&gt;""),AND(O154&gt;K154,K154&lt;&gt;""),AND(O154&gt;L154,L154&lt;&gt;"")),"! Worst value cannot be higher than values for options.The tool will not consider this indicator",IF(OR(AND(P154&lt;G154,G154&lt;&gt;""),AND(P154&lt;H154,H154&lt;&gt;""),AND(P154&lt;I154,I154&lt;&gt;""),AND(P154&lt;J154,J154&lt;&gt;""),AND(P154&lt;K154,K154&lt;&gt;""),AND(P154&lt;L154,L154&lt;&gt;"")),"! Best value cannot be lower than values for options. The tool will not consider this indicator","")))))</f>
        <v>! Best value cannot be lower than worst value.The tool will not consider this indicator</v>
      </c>
      <c r="R154" s="170"/>
      <c r="S154" s="170"/>
      <c r="T154" s="170"/>
      <c r="U154" s="170"/>
      <c r="V154" s="170"/>
      <c r="W154" s="170"/>
      <c r="X154" s="170"/>
      <c r="Y154" s="170"/>
      <c r="Z154" s="31"/>
      <c r="AA154" s="29"/>
      <c r="AB154" s="29"/>
      <c r="AC154" s="29"/>
      <c r="AD154" s="29"/>
    </row>
    <row r="155" spans="2:30" ht="15" customHeight="1">
      <c r="B155" s="30"/>
      <c r="C155" s="29"/>
      <c r="D155" s="47" t="str">
        <f>PTAout!D175</f>
        <v>Community severance</v>
      </c>
      <c r="E155" s="45"/>
      <c r="F155" s="190" t="str">
        <f>PTAout!F175</f>
        <v>UCL Severance Index</v>
      </c>
      <c r="G155" s="427" t="str">
        <f>PTAout!H175</f>
        <v/>
      </c>
      <c r="H155" s="427" t="str">
        <f>PTAout!L175</f>
        <v/>
      </c>
      <c r="I155" s="427" t="str">
        <f>PTAout!Q175</f>
        <v/>
      </c>
      <c r="J155" s="427" t="str">
        <f>PTAout!V175</f>
        <v/>
      </c>
      <c r="K155" s="427" t="str">
        <f>PTAout!AA175</f>
        <v/>
      </c>
      <c r="L155" s="427" t="str">
        <f>PTAout!AF175</f>
        <v/>
      </c>
      <c r="M155" s="45"/>
      <c r="N155" s="761"/>
      <c r="O155" s="211">
        <v>0</v>
      </c>
      <c r="P155" s="211">
        <v>1</v>
      </c>
      <c r="Q155" s="473"/>
      <c r="R155" s="170"/>
      <c r="S155" s="170"/>
      <c r="T155" s="170"/>
      <c r="U155" s="170"/>
      <c r="V155" s="170"/>
      <c r="W155" s="170"/>
      <c r="X155" s="170"/>
      <c r="Y155" s="170"/>
      <c r="Z155" s="31"/>
      <c r="AA155" s="29"/>
      <c r="AB155" s="29"/>
      <c r="AC155" s="29"/>
      <c r="AD155" s="29"/>
    </row>
    <row r="156" spans="2:30" ht="15" customHeight="1">
      <c r="B156" s="30"/>
      <c r="C156" s="29"/>
      <c r="D156" s="47" t="str">
        <f>PTAout!D176</f>
        <v>Personal security</v>
      </c>
      <c r="E156" s="45"/>
      <c r="F156" s="190" t="str">
        <f>PTAout!F176</f>
        <v/>
      </c>
      <c r="G156" s="309" t="str">
        <f>PTAout!H176</f>
        <v/>
      </c>
      <c r="H156" s="309" t="str">
        <f>PTAout!L176</f>
        <v/>
      </c>
      <c r="I156" s="309" t="str">
        <f>PTAout!Q176</f>
        <v/>
      </c>
      <c r="J156" s="309" t="str">
        <f>PTAout!V176</f>
        <v/>
      </c>
      <c r="K156" s="309" t="str">
        <f>PTAout!AA176</f>
        <v/>
      </c>
      <c r="L156" s="309" t="str">
        <f>PTAout!AF176</f>
        <v/>
      </c>
      <c r="M156" s="45"/>
      <c r="N156" s="919" t="s">
        <v>744</v>
      </c>
      <c r="O156" s="113">
        <v>0</v>
      </c>
      <c r="P156" s="113">
        <v>100</v>
      </c>
      <c r="Q156" s="473" t="str">
        <f>IF(OR(O156="",P156=""),"! Worst and best values not specified. The tool will not consider this indicator",IF(P156&lt;O156,"! Best value cannot be lower than worst value.The tool will not consider this indicator",IF(AND(G156="",OR(O156&lt;&gt;"",P156&lt;&gt;"")),"! No current value. The tool will not consider this indicator",IF(OR(AND(O156&gt;G156,G156&lt;&gt;""),AND(O156&gt;H156,H156&lt;&gt;""),AND(O156&gt;I156,I156&lt;&gt;""),AND(O156&gt;J156,I156&lt;&gt;""),AND(O156&gt;K156,K156&lt;&gt;""),AND(O156&gt;L156,L156&lt;&gt;"")),"! Worst value cannot be higher than values for options.The tool will not consider this indicator",IF(OR(AND(P156&lt;G156,G156&lt;&gt;""),AND(P156&lt;H156,H156&lt;&gt;""),AND(P156&lt;I156,I156&lt;&gt;""),AND(P156&lt;J156,J156&lt;&gt;""),AND(P156&lt;K156,K156&lt;&gt;""),AND(P156&lt;L156,L156&lt;&gt;"")),"! Best value cannot be lower than values for options. The tool will not consider this indicator","")))))</f>
        <v>! No current value. The tool will not consider this indicator</v>
      </c>
      <c r="R156" s="170"/>
      <c r="S156" s="170"/>
      <c r="T156" s="170"/>
      <c r="U156" s="170"/>
      <c r="V156" s="170"/>
      <c r="W156" s="170"/>
      <c r="X156" s="170"/>
      <c r="Y156" s="170"/>
      <c r="Z156" s="31"/>
      <c r="AA156" s="29"/>
      <c r="AB156" s="29"/>
      <c r="AC156" s="29"/>
      <c r="AD156" s="29"/>
    </row>
    <row r="157" spans="2:30" ht="15" customHeight="1">
      <c r="B157" s="30"/>
      <c r="C157" s="29"/>
      <c r="D157" s="47" t="str">
        <f>PTAout!D177</f>
        <v>Physical activity</v>
      </c>
      <c r="E157" s="45"/>
      <c r="F157" s="190" t="str">
        <f>PTAout!F177</f>
        <v/>
      </c>
      <c r="G157" s="309" t="str">
        <f>PTAout!H177</f>
        <v/>
      </c>
      <c r="H157" s="309" t="str">
        <f>PTAout!L177</f>
        <v/>
      </c>
      <c r="I157" s="309" t="str">
        <f>PTAout!Q177</f>
        <v/>
      </c>
      <c r="J157" s="309" t="str">
        <f>PTAout!V177</f>
        <v/>
      </c>
      <c r="K157" s="309" t="str">
        <f>PTAout!AA177</f>
        <v/>
      </c>
      <c r="L157" s="309" t="str">
        <f>PTAout!AF177</f>
        <v/>
      </c>
      <c r="M157" s="45"/>
      <c r="N157" s="761" t="s">
        <v>744</v>
      </c>
      <c r="O157" s="113">
        <v>0</v>
      </c>
      <c r="P157" s="113">
        <v>100</v>
      </c>
      <c r="Q157" s="473" t="str">
        <f>IF(OR(O157="",P157=""),"! Worst and best values not specified. The tool will not consider this indicator",IF(P157&gt;O157,"! Best value cannot be higher than worst value. The tool will not consider this indicator",IF(AND(G157="",OR(O157&lt;&gt;"",P157&lt;&gt;"")),"! No current value. The tool will not consider this indicator",IF(OR(AND(O157&lt;G157,G157&lt;&gt;""),AND(O157&lt;H157,H157&lt;&gt;""),AND(O157&lt;I157,I157&lt;&gt;""),AND(O157&lt;J157,J157&lt;&gt;""),AND(O157&lt;K157,K157&lt;&gt;""),AND(O157&lt;L157,L157&lt;&gt;"")),"! Worst value cannot be lower than values for options.The tool will not consider this indicator",IF(OR(AND(P157&gt;G157,G157&lt;&gt;""),AND(P157&gt;H157,H157&lt;&gt;""),AND(P157&gt;I157,I157&lt;&gt;""),AND(P157&gt;J157,J157&lt;&gt;""),AND(P157&gt;K157,K157&lt;&gt;""),AND(P157&gt;L157,L157&lt;&gt;"")),"! Best value cannot be higher than values for options.The tool will not consider this indicator","")))))</f>
        <v>! Best value cannot be higher than worst value. The tool will not consider this indicator</v>
      </c>
      <c r="R157" s="481"/>
      <c r="S157" s="170"/>
      <c r="T157" s="170"/>
      <c r="U157" s="170"/>
      <c r="V157" s="170"/>
      <c r="W157" s="170"/>
      <c r="X157" s="170"/>
      <c r="Y157" s="170"/>
      <c r="Z157" s="31"/>
      <c r="AA157" s="29"/>
      <c r="AB157" s="29"/>
      <c r="AC157" s="29"/>
      <c r="AD157" s="29"/>
    </row>
    <row r="158" spans="2:30" ht="15" customHeight="1">
      <c r="B158" s="30"/>
      <c r="C158" s="29"/>
      <c r="D158" s="47" t="str">
        <f>PTAout!D178</f>
        <v>Social interaction</v>
      </c>
      <c r="E158" s="45"/>
      <c r="F158" s="190" t="str">
        <f>PTAout!F178</f>
        <v/>
      </c>
      <c r="G158" s="399" t="str">
        <f>PTAout!H178</f>
        <v/>
      </c>
      <c r="H158" s="458" t="str">
        <f>PTAout!L178</f>
        <v/>
      </c>
      <c r="I158" s="458" t="str">
        <f>PTAout!Q178</f>
        <v/>
      </c>
      <c r="J158" s="458" t="str">
        <f>PTAout!V178</f>
        <v/>
      </c>
      <c r="K158" s="458" t="str">
        <f>PTAout!AA178</f>
        <v/>
      </c>
      <c r="L158" s="458" t="str">
        <f>PTAout!AF178</f>
        <v/>
      </c>
      <c r="M158" s="45"/>
      <c r="N158" s="761" t="s">
        <v>744</v>
      </c>
      <c r="O158" s="113"/>
      <c r="P158" s="113"/>
      <c r="Q158" s="473" t="str">
        <f>IF(OR(O158="",P158=""),"! Worst and best values not specified. The tool will not consider this indicator",IF(P158&lt;O158,"! Best value cannot be lower than worst value.The tool will not consider this indicator",IF(AND(G158="",OR(O158&lt;&gt;"",P158&lt;&gt;"")),"! No current value. The tool will not consider this indicator",IF(OR(AND(O158&gt;G158,G158&lt;&gt;""),AND(O158&gt;H158,H158&lt;&gt;""),AND(O158&gt;I158,I158&lt;&gt;""),AND(O158&gt;J158,I158&lt;&gt;""),AND(O158&gt;K158,K158&lt;&gt;""),AND(O158&gt;L158,L158&lt;&gt;"")),"! Worst value cannot be higher than values for options.The tool will not consider this indicator",IF(OR(AND(P158&lt;G158,G158&lt;&gt;""),AND(P158&lt;H158,H158&lt;&gt;""),AND(P158&lt;I158,I158&lt;&gt;""),AND(P158&lt;J158,J158&lt;&gt;""),AND(P158&lt;K158,K158&lt;&gt;""),AND(P158&lt;L158,L158&lt;&gt;"")),"! Best value cannot be lower than values for options. The tool will not consider this indicator","")))))</f>
        <v>! Worst and best values not specified. The tool will not consider this indicator</v>
      </c>
      <c r="R158" s="170"/>
      <c r="S158" s="170"/>
      <c r="T158" s="170"/>
      <c r="U158" s="170"/>
      <c r="V158" s="170"/>
      <c r="W158" s="170"/>
      <c r="X158" s="170"/>
      <c r="Y158" s="170"/>
      <c r="Z158" s="31"/>
      <c r="AA158" s="29"/>
      <c r="AB158" s="29"/>
      <c r="AC158" s="29"/>
      <c r="AD158" s="29"/>
    </row>
    <row r="159" spans="2:30" ht="15" customHeight="1">
      <c r="B159" s="30"/>
      <c r="C159" s="29"/>
      <c r="D159" s="47" t="str">
        <f>PTAout!D179</f>
        <v>Inclusion (pedestrians with disabilities)</v>
      </c>
      <c r="E159" s="45"/>
      <c r="F159" s="190" t="str">
        <f>PTAout!F179</f>
        <v>Provision for pedestrians with disabilities</v>
      </c>
      <c r="G159" s="399" t="str">
        <f>PTAout!H179</f>
        <v/>
      </c>
      <c r="H159" s="458" t="str">
        <f>PTAout!L179</f>
        <v/>
      </c>
      <c r="I159" s="458" t="str">
        <f>PTAout!Q179</f>
        <v/>
      </c>
      <c r="J159" s="458" t="str">
        <f>PTAout!V179</f>
        <v/>
      </c>
      <c r="K159" s="458" t="str">
        <f>PTAout!AA179</f>
        <v/>
      </c>
      <c r="L159" s="458" t="str">
        <f>PTAout!AF179</f>
        <v/>
      </c>
      <c r="M159" s="45"/>
      <c r="N159" s="761"/>
      <c r="O159" s="211"/>
      <c r="P159" s="211"/>
      <c r="Q159" s="473"/>
      <c r="R159" s="170"/>
      <c r="S159" s="170"/>
      <c r="T159" s="170"/>
      <c r="U159" s="170"/>
      <c r="V159" s="170"/>
      <c r="W159" s="170"/>
      <c r="X159" s="170"/>
      <c r="Y159" s="170"/>
      <c r="Z159" s="31"/>
      <c r="AA159" s="29"/>
      <c r="AB159" s="29"/>
      <c r="AC159" s="29"/>
      <c r="AD159" s="29"/>
    </row>
    <row r="160" spans="2:30" ht="15" customHeight="1">
      <c r="B160" s="30"/>
      <c r="C160" s="59"/>
      <c r="D160" s="85" t="str">
        <f>PTAout!D180</f>
        <v>Wellbeing</v>
      </c>
      <c r="E160" s="91"/>
      <c r="F160" s="294" t="str">
        <f>PTAout!F180</f>
        <v/>
      </c>
      <c r="G160" s="302" t="str">
        <f>PTAout!H180</f>
        <v/>
      </c>
      <c r="H160" s="302" t="str">
        <f>PTAout!L180</f>
        <v/>
      </c>
      <c r="I160" s="302" t="str">
        <f>PTAout!Q180</f>
        <v/>
      </c>
      <c r="J160" s="302" t="str">
        <f>PTAout!V180</f>
        <v/>
      </c>
      <c r="K160" s="302" t="str">
        <f>PTAout!AA180</f>
        <v/>
      </c>
      <c r="L160" s="302" t="str">
        <f>PTAout!AF180</f>
        <v/>
      </c>
      <c r="M160" s="45"/>
      <c r="N160" s="763" t="s">
        <v>744</v>
      </c>
      <c r="O160" s="299"/>
      <c r="P160" s="299"/>
      <c r="Q160" s="480" t="str">
        <f>IF(OR(O160="",P160=""),"! Worst and best values not specified. The tool will not consider this indicator",IF(P160&lt;O160,"! Best value cannot be lower than worst value.The tool will not consider this indicator",IF(AND(G160="",OR(O160&lt;&gt;"",P160&lt;&gt;"")),"! No current value. The tool will not consider this indicator",IF(OR(AND(O160&gt;G160,G160&lt;&gt;""),AND(O160&gt;H160,H160&lt;&gt;""),AND(O160&gt;I160,I160&lt;&gt;""),AND(O160&gt;J160,I160&lt;&gt;""),AND(O160&gt;K160,K160&lt;&gt;""),AND(O160&gt;L160,L160&lt;&gt;"")),"! Worst value cannot be higher than values for options.The tool will not consider this indicator",IF(OR(AND(P160&lt;G160,G160&lt;&gt;""),AND(P160&lt;H160,H160&lt;&gt;""),AND(P160&lt;I160,I160&lt;&gt;""),AND(P160&lt;J160,J160&lt;&gt;""),AND(P160&lt;K160,K160&lt;&gt;""),AND(P160&lt;L160,L160&lt;&gt;"")),"! Best value cannot be lower than values for options. The tool will not consider this indicator","")))))</f>
        <v>! Worst and best values not specified. The tool will not consider this indicator</v>
      </c>
      <c r="R160" s="170"/>
      <c r="S160" s="170"/>
      <c r="T160" s="170"/>
      <c r="U160" s="170"/>
      <c r="V160" s="170"/>
      <c r="W160" s="170"/>
      <c r="X160" s="170"/>
      <c r="Y160" s="170"/>
      <c r="Z160" s="31"/>
      <c r="AA160" s="29"/>
      <c r="AB160" s="29"/>
      <c r="AC160" s="29"/>
      <c r="AD160" s="29"/>
    </row>
    <row r="161" spans="2:30" ht="15" customHeight="1">
      <c r="B161" s="30"/>
      <c r="C161" s="293" t="str">
        <f>PTAout!C181</f>
        <v>Environmental</v>
      </c>
      <c r="D161" s="47"/>
      <c r="E161" s="45"/>
      <c r="F161" s="190"/>
      <c r="G161" s="399"/>
      <c r="H161" s="458"/>
      <c r="I161" s="458"/>
      <c r="J161" s="458"/>
      <c r="K161" s="458"/>
      <c r="L161" s="458"/>
      <c r="M161" s="45"/>
      <c r="N161" s="45"/>
      <c r="O161" s="211"/>
      <c r="P161" s="211"/>
      <c r="Q161" s="477"/>
      <c r="R161" s="211"/>
      <c r="S161" s="211"/>
      <c r="T161" s="211"/>
      <c r="U161" s="211"/>
      <c r="V161" s="211"/>
      <c r="W161" s="211"/>
      <c r="X161" s="211"/>
      <c r="Y161" s="211"/>
      <c r="Z161" s="31"/>
      <c r="AA161" s="29"/>
      <c r="AB161" s="29"/>
      <c r="AC161" s="29"/>
      <c r="AD161" s="29"/>
    </row>
    <row r="162" spans="2:30" ht="15" customHeight="1">
      <c r="B162" s="30"/>
      <c r="C162" s="209"/>
      <c r="D162" s="47" t="str">
        <f>PTAout!D182</f>
        <v>Green space</v>
      </c>
      <c r="E162" s="45"/>
      <c r="F162" s="190" t="str">
        <f>PTAout!F182</f>
        <v>Area of green space (m2)</v>
      </c>
      <c r="G162" s="399" t="str">
        <f>PTAout!H182</f>
        <v/>
      </c>
      <c r="H162" s="458" t="str">
        <f>PTAout!L182</f>
        <v/>
      </c>
      <c r="I162" s="458" t="str">
        <f>PTAout!Q182</f>
        <v/>
      </c>
      <c r="J162" s="458" t="str">
        <f>PTAout!V182</f>
        <v/>
      </c>
      <c r="K162" s="458" t="str">
        <f>PTAout!AA182</f>
        <v/>
      </c>
      <c r="L162" s="458" t="str">
        <f>PTAout!AF182</f>
        <v/>
      </c>
      <c r="M162" s="45"/>
      <c r="N162" s="761"/>
      <c r="O162" s="211"/>
      <c r="P162" s="211"/>
      <c r="Q162" s="473"/>
      <c r="R162" s="170"/>
      <c r="S162" s="170"/>
      <c r="T162" s="170"/>
      <c r="U162" s="170"/>
      <c r="V162" s="170"/>
      <c r="W162" s="170"/>
      <c r="X162" s="170"/>
      <c r="Y162" s="170"/>
      <c r="Z162" s="31"/>
      <c r="AA162" s="29"/>
      <c r="AB162" s="29"/>
      <c r="AC162" s="29"/>
      <c r="AD162" s="29"/>
    </row>
    <row r="163" spans="2:30" ht="15" customHeight="1">
      <c r="B163" s="30"/>
      <c r="C163" s="209"/>
      <c r="D163" s="47" t="str">
        <f>PTAout!D183</f>
        <v>Air pollution (PM10)</v>
      </c>
      <c r="E163" s="45"/>
      <c r="F163" s="190" t="str">
        <f>PTAout!F183</f>
        <v/>
      </c>
      <c r="G163" s="399" t="str">
        <f>PTAout!H183</f>
        <v/>
      </c>
      <c r="H163" s="458" t="str">
        <f>PTAout!L183</f>
        <v/>
      </c>
      <c r="I163" s="458" t="str">
        <f>PTAout!Q183</f>
        <v/>
      </c>
      <c r="J163" s="458" t="str">
        <f>PTAout!V183</f>
        <v/>
      </c>
      <c r="K163" s="458" t="str">
        <f>PTAout!AA183</f>
        <v/>
      </c>
      <c r="L163" s="458" t="str">
        <f>PTAout!AF183</f>
        <v/>
      </c>
      <c r="M163" s="45"/>
      <c r="N163" s="761" t="s">
        <v>743</v>
      </c>
      <c r="O163" s="113"/>
      <c r="P163" s="113"/>
      <c r="Q163" s="473" t="str">
        <f t="shared" ref="Q163:Q170" si="0">IF(OR(O163="",P163=""),"! Worst and best values not specified. The tool will not consider this indicator",IF(P163&gt;O163,"! Best value cannot be higher than worst value. The tool will not consider this indicator",IF(AND(G163="",OR(O163&lt;&gt;"",P163&lt;&gt;"")),"! No current value. The tool will not consider this indicator",IF(OR(AND(O163&lt;G163,G163&lt;&gt;""),AND(O163&lt;H163,H163&lt;&gt;""),AND(O163&lt;I163,I163&lt;&gt;""),AND(O163&lt;J163,I163&lt;&gt;""),AND(O163&lt;K163,K163&lt;&gt;""),AND(O163&lt;L163,L163&lt;&gt;"")),"! Worst value cannot be lower than values for options.The tool will not consider this indicator",IF(OR(AND(P163&gt;G163,G163&lt;&gt;""),AND(P163&gt;H163,H163&lt;&gt;""),AND(P163&gt;I163,I163&lt;&gt;""),AND(P163&gt;J163,J163&lt;&gt;""),AND(P163&gt;K163,K163&lt;&gt;""),AND(P163&gt;L163,L163&lt;&gt;"")),"! Best value cannot be higher than values for options.The tool will not consider this indicator","")))))</f>
        <v>! Worst and best values not specified. The tool will not consider this indicator</v>
      </c>
      <c r="R163" s="170"/>
      <c r="S163" s="170"/>
      <c r="T163" s="170"/>
      <c r="U163" s="170"/>
      <c r="V163" s="170"/>
      <c r="W163" s="170"/>
      <c r="X163" s="170"/>
      <c r="Y163" s="170"/>
      <c r="Z163" s="31"/>
      <c r="AA163" s="29"/>
      <c r="AB163" s="29"/>
      <c r="AC163" s="29"/>
      <c r="AD163" s="29"/>
    </row>
    <row r="164" spans="2:30" ht="15" customHeight="1">
      <c r="B164" s="30"/>
      <c r="C164" s="209"/>
      <c r="D164" s="47" t="str">
        <f>PTAout!D184</f>
        <v>Air pollution (PM2.5)</v>
      </c>
      <c r="E164" s="45"/>
      <c r="F164" s="190" t="str">
        <f>PTAout!F184</f>
        <v/>
      </c>
      <c r="G164" s="563" t="str">
        <f>PTAout!H184</f>
        <v/>
      </c>
      <c r="H164" s="563" t="str">
        <f>PTAout!L184</f>
        <v/>
      </c>
      <c r="I164" s="563" t="str">
        <f>PTAout!Q184</f>
        <v/>
      </c>
      <c r="J164" s="563" t="str">
        <f>PTAout!V184</f>
        <v/>
      </c>
      <c r="K164" s="563" t="str">
        <f>PTAout!AA184</f>
        <v/>
      </c>
      <c r="L164" s="563" t="str">
        <f>PTAout!AF184</f>
        <v/>
      </c>
      <c r="M164" s="45"/>
      <c r="N164" s="761" t="s">
        <v>743</v>
      </c>
      <c r="O164" s="113"/>
      <c r="P164" s="113"/>
      <c r="Q164" s="473" t="str">
        <f t="shared" si="0"/>
        <v>! Worst and best values not specified. The tool will not consider this indicator</v>
      </c>
      <c r="R164" s="170"/>
      <c r="S164" s="170"/>
      <c r="T164" s="170"/>
      <c r="U164" s="170"/>
      <c r="V164" s="170"/>
      <c r="W164" s="170"/>
      <c r="X164" s="170"/>
      <c r="Y164" s="170"/>
      <c r="Z164" s="31"/>
      <c r="AA164" s="29"/>
      <c r="AB164" s="29"/>
      <c r="AC164" s="29"/>
      <c r="AD164" s="29"/>
    </row>
    <row r="165" spans="2:30" ht="15" customHeight="1">
      <c r="B165" s="30"/>
      <c r="C165" s="209"/>
      <c r="D165" s="47" t="str">
        <f>PTAout!D185</f>
        <v>Air pollution (No2)</v>
      </c>
      <c r="E165" s="45"/>
      <c r="F165" s="190" t="str">
        <f>PTAout!F185</f>
        <v/>
      </c>
      <c r="G165" s="563" t="str">
        <f>PTAout!H185</f>
        <v/>
      </c>
      <c r="H165" s="563" t="str">
        <f>PTAout!L185</f>
        <v/>
      </c>
      <c r="I165" s="563" t="str">
        <f>PTAout!Q185</f>
        <v/>
      </c>
      <c r="J165" s="563" t="str">
        <f>PTAout!V185</f>
        <v/>
      </c>
      <c r="K165" s="563" t="str">
        <f>PTAout!AA185</f>
        <v/>
      </c>
      <c r="L165" s="563" t="str">
        <f>PTAout!AF185</f>
        <v/>
      </c>
      <c r="M165" s="45"/>
      <c r="N165" s="761" t="s">
        <v>743</v>
      </c>
      <c r="O165" s="113"/>
      <c r="P165" s="113"/>
      <c r="Q165" s="473" t="str">
        <f t="shared" si="0"/>
        <v>! Worst and best values not specified. The tool will not consider this indicator</v>
      </c>
      <c r="R165" s="170"/>
      <c r="S165" s="170"/>
      <c r="T165" s="170"/>
      <c r="U165" s="170"/>
      <c r="V165" s="170"/>
      <c r="W165" s="170"/>
      <c r="X165" s="170"/>
      <c r="Y165" s="170"/>
      <c r="Z165" s="31"/>
      <c r="AA165" s="29"/>
      <c r="AB165" s="29"/>
      <c r="AC165" s="29"/>
      <c r="AD165" s="29"/>
    </row>
    <row r="166" spans="2:30" ht="15" customHeight="1">
      <c r="B166" s="30"/>
      <c r="C166" s="209"/>
      <c r="D166" s="47" t="str">
        <f>PTAout!D186</f>
        <v>Noise</v>
      </c>
      <c r="E166" s="45"/>
      <c r="F166" s="190" t="str">
        <f>PTAout!F186</f>
        <v/>
      </c>
      <c r="G166" s="399" t="str">
        <f>PTAout!H186</f>
        <v/>
      </c>
      <c r="H166" s="458" t="str">
        <f>PTAout!L186</f>
        <v/>
      </c>
      <c r="I166" s="458" t="str">
        <f>PTAout!Q186</f>
        <v/>
      </c>
      <c r="J166" s="458" t="str">
        <f>PTAout!V186</f>
        <v/>
      </c>
      <c r="K166" s="458" t="str">
        <f>PTAout!AA186</f>
        <v/>
      </c>
      <c r="L166" s="458" t="str">
        <f>PTAout!AF186</f>
        <v/>
      </c>
      <c r="M166" s="45"/>
      <c r="N166" s="761" t="s">
        <v>743</v>
      </c>
      <c r="O166" s="113"/>
      <c r="P166" s="113"/>
      <c r="Q166" s="473" t="str">
        <f t="shared" si="0"/>
        <v>! Worst and best values not specified. The tool will not consider this indicator</v>
      </c>
      <c r="R166" s="170"/>
      <c r="S166" s="170"/>
      <c r="T166" s="170"/>
      <c r="U166" s="170"/>
      <c r="V166" s="170"/>
      <c r="W166" s="170"/>
      <c r="X166" s="170"/>
      <c r="Y166" s="170"/>
      <c r="Z166" s="31"/>
      <c r="AA166" s="29"/>
      <c r="AB166" s="29"/>
      <c r="AC166" s="29"/>
      <c r="AD166" s="29"/>
    </row>
    <row r="167" spans="2:30" ht="15" customHeight="1">
      <c r="B167" s="30"/>
      <c r="C167" s="209"/>
      <c r="D167" s="47" t="str">
        <f>PTAout!D187</f>
        <v>Soil and water</v>
      </c>
      <c r="E167" s="45"/>
      <c r="F167" s="190" t="str">
        <f>PTAout!F187</f>
        <v/>
      </c>
      <c r="G167" s="399" t="str">
        <f>PTAout!H187</f>
        <v/>
      </c>
      <c r="H167" s="458" t="str">
        <f>PTAout!L187</f>
        <v/>
      </c>
      <c r="I167" s="458" t="str">
        <f>PTAout!Q187</f>
        <v/>
      </c>
      <c r="J167" s="458" t="str">
        <f>PTAout!V187</f>
        <v/>
      </c>
      <c r="K167" s="458" t="str">
        <f>PTAout!AA187</f>
        <v/>
      </c>
      <c r="L167" s="458" t="str">
        <f>PTAout!AF187</f>
        <v/>
      </c>
      <c r="M167" s="45"/>
      <c r="N167" s="761" t="s">
        <v>743</v>
      </c>
      <c r="O167" s="113"/>
      <c r="P167" s="113"/>
      <c r="Q167" s="473" t="str">
        <f t="shared" si="0"/>
        <v>! Worst and best values not specified. The tool will not consider this indicator</v>
      </c>
      <c r="R167" s="170"/>
      <c r="S167" s="170"/>
      <c r="T167" s="170"/>
      <c r="U167" s="170"/>
      <c r="V167" s="170"/>
      <c r="W167" s="170"/>
      <c r="X167" s="170"/>
      <c r="Y167" s="170"/>
      <c r="Z167" s="31"/>
      <c r="AA167" s="29"/>
      <c r="AB167" s="29"/>
      <c r="AC167" s="29"/>
      <c r="AD167" s="29"/>
    </row>
    <row r="168" spans="2:30" ht="15" customHeight="1">
      <c r="B168" s="30"/>
      <c r="C168" s="209"/>
      <c r="D168" s="47" t="str">
        <f>PTAout!D188</f>
        <v>Local climate</v>
      </c>
      <c r="E168" s="45"/>
      <c r="F168" s="190" t="str">
        <f>PTAout!F188</f>
        <v/>
      </c>
      <c r="G168" s="399" t="str">
        <f>PTAout!H188</f>
        <v/>
      </c>
      <c r="H168" s="458" t="str">
        <f>PTAout!L188</f>
        <v/>
      </c>
      <c r="I168" s="458" t="str">
        <f>PTAout!Q188</f>
        <v/>
      </c>
      <c r="J168" s="458" t="str">
        <f>PTAout!V188</f>
        <v/>
      </c>
      <c r="K168" s="458" t="str">
        <f>PTAout!AA188</f>
        <v/>
      </c>
      <c r="L168" s="458" t="str">
        <f>PTAout!AF188</f>
        <v/>
      </c>
      <c r="M168" s="45"/>
      <c r="N168" s="761" t="s">
        <v>743</v>
      </c>
      <c r="O168" s="113"/>
      <c r="P168" s="113"/>
      <c r="Q168" s="473" t="str">
        <f t="shared" si="0"/>
        <v>! Worst and best values not specified. The tool will not consider this indicator</v>
      </c>
      <c r="R168" s="170"/>
      <c r="S168" s="170"/>
      <c r="T168" s="170"/>
      <c r="U168" s="170"/>
      <c r="V168" s="170"/>
      <c r="W168" s="170"/>
      <c r="X168" s="170"/>
      <c r="Y168" s="170"/>
      <c r="Z168" s="31"/>
      <c r="AA168" s="29"/>
      <c r="AB168" s="29"/>
      <c r="AC168" s="29"/>
      <c r="AD168" s="29"/>
    </row>
    <row r="169" spans="2:30" ht="15" customHeight="1">
      <c r="B169" s="30"/>
      <c r="C169" s="209"/>
      <c r="D169" s="47" t="str">
        <f>PTAout!D189</f>
        <v>Energy</v>
      </c>
      <c r="E169" s="45"/>
      <c r="F169" s="190" t="str">
        <f>PTAout!F189</f>
        <v/>
      </c>
      <c r="G169" s="399" t="str">
        <f>PTAout!H189</f>
        <v/>
      </c>
      <c r="H169" s="458" t="str">
        <f>PTAout!L189</f>
        <v/>
      </c>
      <c r="I169" s="458" t="str">
        <f>PTAout!Q189</f>
        <v/>
      </c>
      <c r="J169" s="458" t="str">
        <f>PTAout!V189</f>
        <v/>
      </c>
      <c r="K169" s="458" t="str">
        <f>PTAout!AA189</f>
        <v/>
      </c>
      <c r="L169" s="458" t="str">
        <f>PTAout!AF189</f>
        <v/>
      </c>
      <c r="M169" s="45"/>
      <c r="N169" s="761" t="s">
        <v>743</v>
      </c>
      <c r="O169" s="113"/>
      <c r="P169" s="113"/>
      <c r="Q169" s="473" t="str">
        <f t="shared" si="0"/>
        <v>! Worst and best values not specified. The tool will not consider this indicator</v>
      </c>
      <c r="R169" s="170"/>
      <c r="S169" s="170"/>
      <c r="T169" s="170"/>
      <c r="U169" s="170"/>
      <c r="V169" s="170"/>
      <c r="W169" s="170"/>
      <c r="X169" s="170"/>
      <c r="Y169" s="170"/>
      <c r="Z169" s="31"/>
      <c r="AA169" s="29"/>
      <c r="AB169" s="29"/>
      <c r="AC169" s="29"/>
      <c r="AD169" s="29"/>
    </row>
    <row r="170" spans="2:30" ht="15" customHeight="1">
      <c r="B170" s="306"/>
      <c r="C170" s="59"/>
      <c r="D170" s="85" t="str">
        <f>PTAout!D190</f>
        <v>Co2 emissions</v>
      </c>
      <c r="E170" s="91"/>
      <c r="F170" s="294" t="str">
        <f>PTAout!F190</f>
        <v/>
      </c>
      <c r="G170" s="302" t="str">
        <f>PTAout!H190</f>
        <v/>
      </c>
      <c r="H170" s="302" t="str">
        <f>PTAout!L190</f>
        <v/>
      </c>
      <c r="I170" s="302" t="str">
        <f>PTAout!Q190</f>
        <v/>
      </c>
      <c r="J170" s="302" t="str">
        <f>PTAout!V190</f>
        <v/>
      </c>
      <c r="K170" s="302" t="str">
        <f>PTAout!AA190</f>
        <v/>
      </c>
      <c r="L170" s="302" t="str">
        <f>PTAout!AF190</f>
        <v/>
      </c>
      <c r="M170" s="45"/>
      <c r="N170" s="763" t="s">
        <v>743</v>
      </c>
      <c r="O170" s="299"/>
      <c r="P170" s="299"/>
      <c r="Q170" s="478" t="str">
        <f t="shared" si="0"/>
        <v>! Worst and best values not specified. The tool will not consider this indicator</v>
      </c>
      <c r="R170" s="170"/>
      <c r="S170" s="170"/>
      <c r="T170" s="170"/>
      <c r="U170" s="170"/>
      <c r="V170" s="170"/>
      <c r="W170" s="170"/>
      <c r="X170" s="170"/>
      <c r="Y170" s="170"/>
      <c r="Z170" s="31"/>
      <c r="AA170" s="29"/>
      <c r="AB170" s="29"/>
      <c r="AC170" s="29"/>
      <c r="AD170" s="29"/>
    </row>
    <row r="171" spans="2:30" ht="15" customHeight="1" thickBot="1">
      <c r="B171" s="37"/>
      <c r="C171" s="278"/>
      <c r="D171" s="279"/>
      <c r="E171" s="81"/>
      <c r="F171" s="280"/>
      <c r="G171" s="38"/>
      <c r="H171" s="38"/>
      <c r="I171" s="38"/>
      <c r="J171" s="38"/>
      <c r="K171" s="38"/>
      <c r="L171" s="38"/>
      <c r="M171" s="38"/>
      <c r="N171" s="38"/>
      <c r="O171" s="38"/>
      <c r="P171" s="38"/>
      <c r="Q171" s="38"/>
      <c r="R171" s="38"/>
      <c r="S171" s="38"/>
      <c r="T171" s="38"/>
      <c r="U171" s="38"/>
      <c r="V171" s="38"/>
      <c r="W171" s="38"/>
      <c r="X171" s="38"/>
      <c r="Y171" s="38"/>
      <c r="Z171" s="39"/>
    </row>
    <row r="172" spans="2:30" ht="15" customHeight="1">
      <c r="B172" s="29"/>
      <c r="C172" s="72"/>
      <c r="D172" s="47"/>
      <c r="E172" s="45"/>
      <c r="F172" s="190"/>
      <c r="G172" s="29"/>
      <c r="H172" s="29"/>
      <c r="I172" s="29"/>
      <c r="J172" s="29"/>
      <c r="K172" s="29"/>
      <c r="L172" s="29"/>
      <c r="M172" s="29"/>
      <c r="N172" s="29"/>
      <c r="O172" s="29"/>
      <c r="P172" s="29"/>
      <c r="Q172" s="29"/>
      <c r="R172" s="29"/>
      <c r="S172" s="29"/>
      <c r="T172" s="29"/>
      <c r="U172" s="29"/>
      <c r="V172" s="29"/>
      <c r="W172" s="29"/>
      <c r="X172" s="29"/>
      <c r="Y172" s="29"/>
      <c r="Z172" s="29"/>
    </row>
    <row r="173" spans="2:30" ht="15" customHeight="1">
      <c r="C173" s="72"/>
      <c r="D173" s="47"/>
      <c r="E173" s="45"/>
      <c r="F173" s="190"/>
    </row>
    <row r="174" spans="2:30" ht="15" hidden="1" customHeight="1">
      <c r="D174" s="47"/>
      <c r="E174" s="45"/>
      <c r="F174" s="190"/>
    </row>
    <row r="175" spans="2:30" ht="15" customHeight="1">
      <c r="D175" s="47"/>
      <c r="E175" s="45"/>
      <c r="F175" s="190"/>
    </row>
    <row r="176" spans="2:30" ht="0" hidden="1" customHeight="1">
      <c r="D176" s="47"/>
      <c r="E176" s="45"/>
      <c r="F176" s="190"/>
    </row>
    <row r="177" spans="3:6" ht="0" hidden="1" customHeight="1">
      <c r="D177" s="47"/>
      <c r="E177" s="45"/>
      <c r="F177" s="190"/>
    </row>
    <row r="178" spans="3:6" ht="0" hidden="1" customHeight="1">
      <c r="C178" s="72"/>
      <c r="D178" s="47"/>
      <c r="E178" s="45"/>
      <c r="F178" s="190"/>
    </row>
    <row r="179" spans="3:6" ht="0" hidden="1" customHeight="1">
      <c r="C179" s="72"/>
      <c r="D179" s="47"/>
      <c r="E179" s="45"/>
      <c r="F179" s="190"/>
    </row>
    <row r="180" spans="3:6" ht="0" hidden="1" customHeight="1">
      <c r="C180" s="72"/>
      <c r="D180" s="47"/>
      <c r="E180" s="45"/>
      <c r="F180" s="190"/>
    </row>
    <row r="181" spans="3:6" ht="0" hidden="1" customHeight="1">
      <c r="C181" s="72"/>
      <c r="D181" s="47"/>
      <c r="E181" s="45"/>
      <c r="F181" s="190"/>
    </row>
    <row r="182" spans="3:6" ht="0" hidden="1" customHeight="1">
      <c r="C182" s="72"/>
      <c r="D182" s="47"/>
      <c r="E182" s="45"/>
      <c r="F182" s="190"/>
    </row>
    <row r="183" spans="3:6" ht="0" hidden="1" customHeight="1">
      <c r="C183" s="72"/>
      <c r="D183" s="47"/>
      <c r="E183" s="45"/>
      <c r="F183" s="190"/>
    </row>
    <row r="184" spans="3:6" ht="0" hidden="1" customHeight="1">
      <c r="C184" s="72"/>
      <c r="D184" s="47"/>
      <c r="E184" s="45"/>
      <c r="F184" s="190"/>
    </row>
    <row r="185" spans="3:6" ht="0" hidden="1" customHeight="1">
      <c r="D185" s="47"/>
      <c r="E185" s="45"/>
      <c r="F185" s="190"/>
    </row>
    <row r="186" spans="3:6" ht="0" hidden="1" customHeight="1">
      <c r="C186" s="38"/>
      <c r="D186" s="38"/>
      <c r="E186" s="38"/>
      <c r="F186" s="38"/>
    </row>
  </sheetData>
  <mergeCells count="9">
    <mergeCell ref="C16:E17"/>
    <mergeCell ref="R16:Y17"/>
    <mergeCell ref="B2:Z2"/>
    <mergeCell ref="R15:Y15"/>
    <mergeCell ref="O15:P15"/>
    <mergeCell ref="D6:P6"/>
    <mergeCell ref="F15:L15"/>
    <mergeCell ref="F16:L18"/>
    <mergeCell ref="N16:P18"/>
  </mergeCells>
  <dataValidations count="1">
    <dataValidation type="list" allowBlank="1" showInputMessage="1" showErrorMessage="1" sqref="R74:Y79 R151:Y160 R66:Y72 R84:Y87 R94:Y97 R99:Y102 R104:Y107 R109:Y112 R114:Y117 R26:Y32 R34:Y40 R42:Y48 R50:Y56 R58:Y64 U73 R21:Y22 R89:Y92 R146:Y149 R139:Y143 R134:Y137 R129:Y132 R124:Y127 R119:Y122 R162:Y170">
      <formula1>MCAimportance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00B0F0"/>
  </sheetPr>
  <dimension ref="A1:CB119"/>
  <sheetViews>
    <sheetView zoomScale="70" zoomScaleNormal="70" workbookViewId="0"/>
  </sheetViews>
  <sheetFormatPr defaultColWidth="0" defaultRowHeight="0" customHeight="1" zeroHeight="1"/>
  <cols>
    <col min="1" max="1" width="3.85546875" style="28" customWidth="1"/>
    <col min="2" max="2" width="2.42578125" style="28" customWidth="1"/>
    <col min="3" max="3" width="3.5703125" style="28" customWidth="1"/>
    <col min="4" max="4" width="10.5703125" style="28" customWidth="1"/>
    <col min="5" max="5" width="7.5703125" style="28" customWidth="1"/>
    <col min="6" max="6" width="23.42578125" style="28" customWidth="1"/>
    <col min="7" max="7" width="25.42578125" style="28" customWidth="1"/>
    <col min="8" max="8" width="2.140625" style="28" hidden="1" customWidth="1"/>
    <col min="9" max="9" width="18.28515625" style="28" customWidth="1"/>
    <col min="10" max="10" width="2.28515625" style="28" hidden="1" customWidth="1"/>
    <col min="11" max="11" width="18.28515625" style="28" customWidth="1"/>
    <col min="12" max="12" width="2.28515625" style="28" hidden="1" customWidth="1"/>
    <col min="13" max="13" width="18.28515625" style="28" customWidth="1"/>
    <col min="14" max="14" width="2.28515625" style="28" hidden="1" customWidth="1"/>
    <col min="15" max="15" width="18.28515625" style="28" customWidth="1"/>
    <col min="16" max="16" width="2.28515625" style="28" hidden="1" customWidth="1"/>
    <col min="17" max="17" width="18.28515625" style="28" customWidth="1"/>
    <col min="18" max="18" width="2.28515625" style="28" hidden="1" customWidth="1"/>
    <col min="19" max="19" width="2.5703125" style="28" customWidth="1"/>
    <col min="20" max="20" width="3.7109375" style="28" customWidth="1"/>
    <col min="21" max="80" width="0" style="28" hidden="1" customWidth="1"/>
    <col min="81" max="16384" width="8.85546875" style="28" hidden="1"/>
  </cols>
  <sheetData>
    <row r="1" spans="1:23" ht="15" customHeight="1" thickBot="1">
      <c r="T1" s="29"/>
      <c r="U1" s="29"/>
      <c r="V1" s="29"/>
      <c r="W1" s="29"/>
    </row>
    <row r="2" spans="1:23" ht="24.95" customHeight="1" thickBot="1">
      <c r="A2" s="29"/>
      <c r="B2" s="1105" t="s">
        <v>64</v>
      </c>
      <c r="C2" s="1106"/>
      <c r="D2" s="1106"/>
      <c r="E2" s="1106"/>
      <c r="F2" s="1106"/>
      <c r="G2" s="1106"/>
      <c r="H2" s="1106"/>
      <c r="I2" s="1106"/>
      <c r="J2" s="1106"/>
      <c r="K2" s="1106"/>
      <c r="L2" s="1106"/>
      <c r="M2" s="1106"/>
      <c r="N2" s="1106"/>
      <c r="O2" s="1106"/>
      <c r="P2" s="1106"/>
      <c r="Q2" s="1106"/>
      <c r="R2" s="1106"/>
      <c r="S2" s="1107"/>
      <c r="T2" s="29"/>
      <c r="U2" s="29"/>
      <c r="V2" s="29"/>
      <c r="W2" s="29"/>
    </row>
    <row r="3" spans="1:23" ht="9.9499999999999993" customHeight="1">
      <c r="A3" s="29"/>
      <c r="B3" s="42"/>
      <c r="C3" s="43"/>
      <c r="D3" s="43"/>
      <c r="E3" s="43"/>
      <c r="F3" s="43"/>
      <c r="G3" s="43"/>
      <c r="H3" s="43"/>
      <c r="I3" s="43"/>
      <c r="J3" s="43"/>
      <c r="K3" s="43"/>
      <c r="L3" s="43"/>
      <c r="M3" s="43"/>
      <c r="N3" s="43"/>
      <c r="O3" s="43"/>
      <c r="P3" s="43"/>
      <c r="Q3" s="43"/>
      <c r="R3" s="43"/>
      <c r="S3" s="44"/>
      <c r="T3" s="29"/>
      <c r="U3" s="29"/>
      <c r="V3" s="29"/>
      <c r="W3" s="29"/>
    </row>
    <row r="4" spans="1:23" ht="15" customHeight="1">
      <c r="A4" s="29"/>
      <c r="B4" s="42"/>
      <c r="C4" s="69" t="s">
        <v>4</v>
      </c>
      <c r="D4" s="70"/>
      <c r="E4" s="70"/>
      <c r="F4" s="70"/>
      <c r="G4" s="70"/>
      <c r="H4" s="70"/>
      <c r="I4" s="70"/>
      <c r="J4" s="70"/>
      <c r="K4" s="70"/>
      <c r="L4" s="70"/>
      <c r="M4" s="70"/>
      <c r="N4" s="70"/>
      <c r="O4" s="70"/>
      <c r="P4" s="70"/>
      <c r="Q4" s="70"/>
      <c r="R4" s="70"/>
      <c r="S4" s="360"/>
      <c r="T4" s="29"/>
      <c r="U4" s="358"/>
      <c r="V4" s="29"/>
      <c r="W4" s="29"/>
    </row>
    <row r="5" spans="1:23" ht="15" customHeight="1">
      <c r="B5" s="30"/>
      <c r="C5" s="142" t="s">
        <v>79</v>
      </c>
      <c r="D5" s="240" t="s">
        <v>179</v>
      </c>
      <c r="E5" s="240"/>
      <c r="F5" s="240"/>
      <c r="G5" s="240"/>
      <c r="H5" s="240"/>
      <c r="I5" s="240"/>
      <c r="J5" s="240"/>
      <c r="K5" s="240"/>
      <c r="L5" s="240"/>
      <c r="M5" s="240"/>
      <c r="N5" s="240"/>
      <c r="O5" s="240"/>
      <c r="P5" s="240"/>
      <c r="Q5" s="240"/>
      <c r="R5" s="240"/>
      <c r="S5" s="361"/>
      <c r="T5" s="240"/>
      <c r="U5" s="241"/>
      <c r="V5" s="29"/>
      <c r="W5" s="29"/>
    </row>
    <row r="6" spans="1:23" ht="15" customHeight="1">
      <c r="B6" s="30"/>
      <c r="C6" s="142" t="s">
        <v>79</v>
      </c>
      <c r="D6" s="213" t="s">
        <v>180</v>
      </c>
      <c r="E6" s="213"/>
      <c r="F6" s="213"/>
      <c r="G6" s="213"/>
      <c r="H6" s="213"/>
      <c r="I6" s="213"/>
      <c r="J6" s="213"/>
      <c r="K6" s="213"/>
      <c r="L6" s="213"/>
      <c r="M6" s="213"/>
      <c r="N6" s="213"/>
      <c r="O6" s="213"/>
      <c r="P6" s="213"/>
      <c r="Q6" s="213"/>
      <c r="R6" s="213"/>
      <c r="S6" s="362"/>
      <c r="T6" s="214"/>
      <c r="U6" s="215"/>
      <c r="V6" s="29"/>
      <c r="W6" s="29"/>
    </row>
    <row r="7" spans="1:23" ht="15" customHeight="1">
      <c r="B7" s="32"/>
      <c r="C7" s="142" t="s">
        <v>79</v>
      </c>
      <c r="D7" s="214" t="s">
        <v>181</v>
      </c>
      <c r="E7" s="237"/>
      <c r="F7" s="237"/>
      <c r="G7" s="237"/>
      <c r="H7" s="665"/>
      <c r="I7" s="237"/>
      <c r="J7" s="665"/>
      <c r="K7" s="237"/>
      <c r="L7" s="665"/>
      <c r="M7" s="237"/>
      <c r="N7" s="665"/>
      <c r="O7" s="237"/>
      <c r="P7" s="665"/>
      <c r="Q7" s="237"/>
      <c r="R7" s="665"/>
      <c r="S7" s="363"/>
      <c r="T7" s="237"/>
      <c r="U7" s="238"/>
      <c r="V7" s="29"/>
      <c r="W7" s="29"/>
    </row>
    <row r="8" spans="1:23" ht="15" customHeight="1">
      <c r="B8" s="32"/>
      <c r="C8" s="142" t="s">
        <v>79</v>
      </c>
      <c r="D8" s="214" t="s">
        <v>599</v>
      </c>
      <c r="E8" s="237"/>
      <c r="F8" s="237"/>
      <c r="G8" s="237"/>
      <c r="H8" s="665"/>
      <c r="I8" s="237"/>
      <c r="J8" s="665"/>
      <c r="K8" s="237"/>
      <c r="L8" s="665"/>
      <c r="M8" s="237"/>
      <c r="N8" s="665"/>
      <c r="O8" s="237"/>
      <c r="P8" s="665"/>
      <c r="Q8" s="237"/>
      <c r="R8" s="665"/>
      <c r="S8" s="363"/>
      <c r="T8" s="237"/>
      <c r="U8" s="238"/>
      <c r="V8" s="29"/>
      <c r="W8" s="29"/>
    </row>
    <row r="9" spans="1:23" ht="8.25" customHeight="1">
      <c r="B9" s="32"/>
      <c r="C9" s="56"/>
      <c r="D9" s="27"/>
      <c r="E9" s="27"/>
      <c r="F9" s="27"/>
      <c r="G9" s="27"/>
      <c r="H9" s="27"/>
      <c r="I9" s="27"/>
      <c r="J9" s="27"/>
      <c r="K9" s="27"/>
      <c r="L9" s="27"/>
      <c r="M9" s="27"/>
      <c r="N9" s="27"/>
      <c r="O9" s="27"/>
      <c r="P9" s="27"/>
      <c r="Q9" s="27"/>
      <c r="R9" s="27"/>
      <c r="S9" s="31"/>
      <c r="T9" s="29"/>
      <c r="U9" s="357"/>
      <c r="V9" s="29"/>
      <c r="W9" s="29"/>
    </row>
    <row r="10" spans="1:23" ht="15" customHeight="1">
      <c r="B10" s="32"/>
      <c r="C10" s="58" t="s">
        <v>11</v>
      </c>
      <c r="D10" s="29"/>
      <c r="E10" s="26"/>
      <c r="F10" s="26"/>
      <c r="G10" s="27"/>
      <c r="H10" s="27"/>
      <c r="I10" s="27"/>
      <c r="J10" s="27"/>
      <c r="K10" s="27"/>
      <c r="L10" s="27"/>
      <c r="M10" s="27"/>
      <c r="N10" s="27"/>
      <c r="O10" s="27"/>
      <c r="P10" s="27"/>
      <c r="Q10" s="27"/>
      <c r="R10" s="27"/>
      <c r="S10" s="31"/>
      <c r="T10" s="29"/>
      <c r="U10" s="357"/>
      <c r="V10" s="29"/>
      <c r="W10" s="29"/>
    </row>
    <row r="11" spans="1:23" ht="15" customHeight="1">
      <c r="B11" s="32"/>
      <c r="C11" s="968"/>
      <c r="D11" s="63" t="s">
        <v>37</v>
      </c>
      <c r="E11" s="26"/>
      <c r="F11" s="26"/>
      <c r="G11" s="27"/>
      <c r="H11" s="27"/>
      <c r="I11" s="27"/>
      <c r="J11" s="27"/>
      <c r="K11" s="27"/>
      <c r="L11" s="27"/>
      <c r="M11" s="27"/>
      <c r="N11" s="27"/>
      <c r="O11" s="27"/>
      <c r="P11" s="27"/>
      <c r="Q11" s="27"/>
      <c r="R11" s="27"/>
      <c r="S11" s="31"/>
      <c r="T11" s="29"/>
      <c r="U11" s="357"/>
      <c r="V11" s="29"/>
      <c r="W11" s="29"/>
    </row>
    <row r="12" spans="1:23" ht="15" customHeight="1">
      <c r="B12" s="32"/>
      <c r="C12" s="125" t="s">
        <v>65</v>
      </c>
      <c r="D12" s="63" t="s">
        <v>775</v>
      </c>
      <c r="E12" s="26"/>
      <c r="F12" s="26"/>
      <c r="G12" s="27"/>
      <c r="H12" s="27"/>
      <c r="I12" s="27"/>
      <c r="J12" s="27"/>
      <c r="K12" s="27"/>
      <c r="L12" s="27"/>
      <c r="M12" s="27"/>
      <c r="N12" s="27"/>
      <c r="O12" s="27"/>
      <c r="P12" s="27"/>
      <c r="Q12" s="27"/>
      <c r="R12" s="27"/>
      <c r="S12" s="31"/>
      <c r="T12" s="29"/>
      <c r="U12" s="357"/>
      <c r="V12" s="29"/>
      <c r="W12" s="29"/>
    </row>
    <row r="13" spans="1:23" ht="15" customHeight="1">
      <c r="B13" s="32"/>
      <c r="C13" s="308" t="s">
        <v>65</v>
      </c>
      <c r="D13" s="64" t="s">
        <v>178</v>
      </c>
      <c r="E13" s="59"/>
      <c r="F13" s="59"/>
      <c r="G13" s="60"/>
      <c r="H13" s="60"/>
      <c r="I13" s="60"/>
      <c r="J13" s="60"/>
      <c r="K13" s="60"/>
      <c r="L13" s="60"/>
      <c r="M13" s="60"/>
      <c r="N13" s="60"/>
      <c r="O13" s="60"/>
      <c r="P13" s="60"/>
      <c r="Q13" s="60"/>
      <c r="R13" s="60"/>
      <c r="S13" s="359"/>
      <c r="T13" s="29"/>
      <c r="U13" s="357"/>
      <c r="V13" s="29"/>
      <c r="W13" s="29"/>
    </row>
    <row r="14" spans="1:23" s="29" customFormat="1" ht="15" customHeight="1">
      <c r="A14" s="28"/>
      <c r="B14" s="32"/>
      <c r="C14" s="19"/>
      <c r="D14" s="63"/>
      <c r="G14" s="27"/>
      <c r="H14" s="27"/>
      <c r="I14" s="27"/>
      <c r="J14" s="27"/>
      <c r="K14" s="27"/>
      <c r="L14" s="27"/>
      <c r="M14" s="27"/>
      <c r="N14" s="27"/>
      <c r="O14" s="27"/>
      <c r="P14" s="27"/>
      <c r="Q14" s="27"/>
      <c r="R14" s="27"/>
      <c r="S14" s="31"/>
    </row>
    <row r="15" spans="1:23" s="29" customFormat="1" ht="15" customHeight="1">
      <c r="A15" s="28"/>
      <c r="B15" s="32"/>
      <c r="C15" s="9"/>
      <c r="D15" s="63"/>
      <c r="G15" s="924" t="str">
        <f>IF(OR(city="",segment=""),"Multi-criteria analysis of options for roadspace reallocation","Multi-criteria analysis of options for roadspace reallocation in " &amp; segment &amp; ", " &amp;  city)</f>
        <v>Multi-criteria analysis of options for roadspace reallocation</v>
      </c>
      <c r="H15" s="667"/>
      <c r="I15" s="242"/>
      <c r="J15" s="667"/>
      <c r="K15" s="27"/>
      <c r="L15" s="667"/>
      <c r="M15" s="27"/>
      <c r="N15" s="667"/>
      <c r="O15" s="27"/>
      <c r="P15" s="667"/>
      <c r="Q15" s="27"/>
      <c r="R15" s="667"/>
      <c r="S15" s="31"/>
    </row>
    <row r="16" spans="1:23" s="29" customFormat="1" ht="15" customHeight="1">
      <c r="A16" s="28"/>
      <c r="B16" s="32"/>
      <c r="C16" s="19"/>
      <c r="D16" s="63"/>
      <c r="G16" s="27"/>
      <c r="H16" s="27"/>
      <c r="I16" s="27"/>
      <c r="J16" s="27"/>
      <c r="K16" s="27"/>
      <c r="L16" s="27"/>
      <c r="M16" s="27"/>
      <c r="N16" s="27"/>
      <c r="O16" s="27"/>
      <c r="P16" s="27"/>
      <c r="Q16" s="27"/>
      <c r="R16" s="27"/>
      <c r="S16" s="31"/>
    </row>
    <row r="17" spans="1:23" s="90" customFormat="1" ht="15" customHeight="1">
      <c r="A17" s="92"/>
      <c r="B17" s="93"/>
      <c r="D17" s="94"/>
      <c r="E17" s="95"/>
      <c r="F17" s="95"/>
      <c r="G17" s="169" t="s">
        <v>86</v>
      </c>
      <c r="H17" s="169"/>
      <c r="I17" s="169" t="s">
        <v>5</v>
      </c>
      <c r="J17" s="169"/>
      <c r="K17" s="169" t="s">
        <v>6</v>
      </c>
      <c r="L17" s="169"/>
      <c r="M17" s="169" t="s">
        <v>7</v>
      </c>
      <c r="N17" s="169"/>
      <c r="O17" s="169" t="s">
        <v>8</v>
      </c>
      <c r="P17" s="169"/>
      <c r="Q17" s="169" t="s">
        <v>9</v>
      </c>
      <c r="R17" s="169"/>
      <c r="S17" s="96"/>
    </row>
    <row r="18" spans="1:23" s="90" customFormat="1" ht="15" customHeight="1">
      <c r="A18" s="92"/>
      <c r="B18" s="93"/>
      <c r="D18" s="94"/>
      <c r="E18" s="95"/>
      <c r="F18" s="95"/>
      <c r="G18" s="169"/>
      <c r="H18" s="169"/>
      <c r="I18" s="169"/>
      <c r="J18" s="169"/>
      <c r="K18" s="169"/>
      <c r="L18" s="169"/>
      <c r="M18" s="169"/>
      <c r="N18" s="169"/>
      <c r="O18" s="169"/>
      <c r="P18" s="169"/>
      <c r="Q18" s="169"/>
      <c r="R18" s="169"/>
      <c r="S18" s="96"/>
    </row>
    <row r="19" spans="1:23" s="90" customFormat="1" ht="35.450000000000003" customHeight="1">
      <c r="A19" s="92"/>
      <c r="B19" s="93"/>
      <c r="D19" s="94"/>
      <c r="E19" s="95"/>
      <c r="F19" s="95"/>
      <c r="G19" s="449" t="str">
        <f>IF(code0="","",code0)</f>
        <v/>
      </c>
      <c r="H19" s="449"/>
      <c r="I19" s="449" t="str">
        <f>IF(code1="","",code1)</f>
        <v/>
      </c>
      <c r="J19" s="449"/>
      <c r="K19" s="449" t="str">
        <f>IF(code2="","",code2)</f>
        <v/>
      </c>
      <c r="L19" s="449"/>
      <c r="M19" s="449" t="str">
        <f>IF(code3="","",code3)</f>
        <v/>
      </c>
      <c r="N19" s="449"/>
      <c r="O19" s="449" t="str">
        <f>IF(code4="","",code4)</f>
        <v/>
      </c>
      <c r="P19" s="449"/>
      <c r="Q19" s="449" t="str">
        <f>IF(code5="","",code5)</f>
        <v/>
      </c>
      <c r="R19" s="449"/>
      <c r="S19" s="96"/>
    </row>
    <row r="20" spans="1:23" s="90" customFormat="1" ht="33.75" customHeight="1">
      <c r="A20" s="92"/>
      <c r="B20" s="93"/>
      <c r="D20" s="94"/>
      <c r="E20" s="95"/>
      <c r="F20" s="95"/>
      <c r="G20" s="452" t="str">
        <f>IF(code0="","",IF(name0="","noname",name0))</f>
        <v/>
      </c>
      <c r="H20" s="452"/>
      <c r="I20" s="452" t="str">
        <f>IF(code1="","",IF(name1="","noname",name1))</f>
        <v/>
      </c>
      <c r="J20" s="452"/>
      <c r="K20" s="452" t="str">
        <f>IF(code2="","",IF(name2="","noname",name2))</f>
        <v/>
      </c>
      <c r="L20" s="452"/>
      <c r="M20" s="452" t="str">
        <f>IF(code3="","",IF(name3="","noname",name3))</f>
        <v/>
      </c>
      <c r="N20" s="452"/>
      <c r="O20" s="452" t="str">
        <f>IF(code4="","",IF(name4="","noname",name4))</f>
        <v/>
      </c>
      <c r="P20" s="452"/>
      <c r="Q20" s="452" t="str">
        <f>IF(code5="","",IF(name5="","noname",name5))</f>
        <v/>
      </c>
      <c r="R20" s="452"/>
      <c r="S20" s="96"/>
    </row>
    <row r="21" spans="1:23" s="90" customFormat="1" ht="9.75" customHeight="1">
      <c r="A21" s="92"/>
      <c r="B21" s="93"/>
      <c r="D21" s="94"/>
      <c r="E21" s="95"/>
      <c r="F21" s="95"/>
      <c r="G21" s="243"/>
      <c r="H21" s="668"/>
      <c r="I21" s="243"/>
      <c r="J21" s="668"/>
      <c r="K21" s="243"/>
      <c r="L21" s="668"/>
      <c r="M21" s="243"/>
      <c r="N21" s="668"/>
      <c r="O21" s="243"/>
      <c r="P21" s="668"/>
      <c r="Q21" s="243"/>
      <c r="R21" s="668"/>
      <c r="S21" s="96"/>
    </row>
    <row r="22" spans="1:23" s="90" customFormat="1" ht="9.75" hidden="1" customHeight="1">
      <c r="A22" s="526"/>
      <c r="B22" s="527"/>
      <c r="C22" s="528"/>
      <c r="D22" s="50"/>
      <c r="E22" s="50"/>
      <c r="F22" s="50"/>
      <c r="G22" s="529">
        <v>1</v>
      </c>
      <c r="H22" s="529"/>
      <c r="I22" s="529">
        <v>2</v>
      </c>
      <c r="J22" s="529"/>
      <c r="K22" s="529">
        <v>3</v>
      </c>
      <c r="L22" s="529"/>
      <c r="M22" s="529">
        <v>4</v>
      </c>
      <c r="N22" s="529"/>
      <c r="O22" s="529">
        <v>5</v>
      </c>
      <c r="P22" s="529"/>
      <c r="Q22" s="529">
        <v>6</v>
      </c>
      <c r="R22" s="529"/>
      <c r="S22" s="96"/>
    </row>
    <row r="23" spans="1:23" ht="15" customHeight="1">
      <c r="B23" s="24"/>
      <c r="C23" s="29"/>
      <c r="D23" s="532"/>
      <c r="E23" s="533"/>
      <c r="F23" s="533"/>
      <c r="G23" s="1104" t="s">
        <v>170</v>
      </c>
      <c r="H23" s="1104"/>
      <c r="I23" s="1104"/>
      <c r="J23" s="1104"/>
      <c r="K23" s="1104"/>
      <c r="L23" s="1104"/>
      <c r="M23" s="1104"/>
      <c r="N23" s="1104"/>
      <c r="O23" s="1104"/>
      <c r="P23" s="1104"/>
      <c r="Q23" s="1104"/>
      <c r="R23" s="1104"/>
      <c r="S23" s="20"/>
      <c r="T23" s="29"/>
      <c r="U23" s="29"/>
      <c r="V23" s="29"/>
      <c r="W23" s="29"/>
    </row>
    <row r="24" spans="1:23" ht="15" customHeight="1">
      <c r="B24" s="24"/>
      <c r="C24" s="530"/>
      <c r="D24" s="40" t="s">
        <v>198</v>
      </c>
      <c r="E24" s="97"/>
      <c r="F24" s="97"/>
      <c r="G24" s="367" t="str">
        <f t="shared" ref="G24:Q24" ca="1" si="0">IFERROR(AVERAGEIF(G25:G32,"&gt;0"),"")</f>
        <v/>
      </c>
      <c r="H24" s="735" t="str">
        <f ca="1">IF(G24=MIN($G24,$I24,$K24,$M24,$O24,$Q24),1,"")</f>
        <v/>
      </c>
      <c r="I24" s="367" t="str">
        <f t="shared" ca="1" si="0"/>
        <v/>
      </c>
      <c r="J24" s="735" t="str">
        <f ca="1">IF(I24=MIN($G24,$I24,$K24,$M24,$O24,$Q24),1,"")</f>
        <v/>
      </c>
      <c r="K24" s="367" t="str">
        <f t="shared" ca="1" si="0"/>
        <v/>
      </c>
      <c r="L24" s="735" t="str">
        <f ca="1">IF(K24=MIN($G24,$I24,$K24,$M24,$O24,$Q24),1,"")</f>
        <v/>
      </c>
      <c r="M24" s="367" t="str">
        <f t="shared" ca="1" si="0"/>
        <v/>
      </c>
      <c r="N24" s="735" t="str">
        <f ca="1">IF(M24=MIN($G24,$I24,$K24,$M24,$O24,$Q24),1,"")</f>
        <v/>
      </c>
      <c r="O24" s="367" t="str">
        <f t="shared" ca="1" si="0"/>
        <v/>
      </c>
      <c r="P24" s="735" t="str">
        <f ca="1">IF(O24=MIN($G24,$I24,$K24,$M24,$O24,$Q24),1,"")</f>
        <v/>
      </c>
      <c r="Q24" s="367" t="str">
        <f t="shared" ca="1" si="0"/>
        <v/>
      </c>
      <c r="R24" s="735" t="str">
        <f ca="1">IF(Q24=MIN($G24,$I24,$K24,$M24,$O24,$Q24),1,"")</f>
        <v/>
      </c>
      <c r="S24" s="20"/>
      <c r="T24" s="29"/>
      <c r="U24" s="29"/>
      <c r="V24" s="29"/>
      <c r="W24" s="29"/>
    </row>
    <row r="25" spans="1:23" ht="15" customHeight="1">
      <c r="B25" s="33"/>
      <c r="C25" s="530">
        <v>1</v>
      </c>
      <c r="D25" s="40" t="s">
        <v>162</v>
      </c>
      <c r="E25" s="89"/>
      <c r="F25" s="355" t="str">
        <f>IF(MCAin!R19="","",MCAin!R19)</f>
        <v/>
      </c>
      <c r="G25" s="356" t="str">
        <f ca="1">IF(G36="","",RANK(G36,scores1))</f>
        <v/>
      </c>
      <c r="H25" s="356"/>
      <c r="I25" s="356" t="str">
        <f ca="1">IF(I36="","",RANK(I36,scores1))</f>
        <v/>
      </c>
      <c r="J25" s="356"/>
      <c r="K25" s="356" t="str">
        <f ca="1">IF(K36="","",RANK(K36,scores1))</f>
        <v/>
      </c>
      <c r="L25" s="356"/>
      <c r="M25" s="356" t="str">
        <f ca="1">IF(M36="","",RANK(M36,scores1))</f>
        <v/>
      </c>
      <c r="N25" s="356"/>
      <c r="O25" s="356" t="str">
        <f ca="1">IF(O36="","",RANK(O36,scores1))</f>
        <v/>
      </c>
      <c r="P25" s="356"/>
      <c r="Q25" s="356" t="str">
        <f ca="1">IF(Q36="","",RANK(Q36,scores1))</f>
        <v/>
      </c>
      <c r="R25" s="356"/>
      <c r="S25" s="31"/>
      <c r="T25" s="29"/>
      <c r="U25" s="29"/>
      <c r="V25" s="29"/>
      <c r="W25" s="29"/>
    </row>
    <row r="26" spans="1:23" ht="15" customHeight="1">
      <c r="B26" s="33"/>
      <c r="C26" s="530">
        <v>2</v>
      </c>
      <c r="D26" s="40" t="s">
        <v>163</v>
      </c>
      <c r="E26" s="47"/>
      <c r="F26" s="355" t="str">
        <f>IF(MCAin!S19="","",MCAin!S19)</f>
        <v/>
      </c>
      <c r="G26" s="356" t="str">
        <f ca="1">IF(G37="","",RANK(G37,scores2))</f>
        <v/>
      </c>
      <c r="H26" s="356"/>
      <c r="I26" s="356" t="str">
        <f ca="1">IF(I37="","",RANK(I37,scores2))</f>
        <v/>
      </c>
      <c r="J26" s="356"/>
      <c r="K26" s="356" t="str">
        <f ca="1">IF(K37="","",RANK(K37,scores2))</f>
        <v/>
      </c>
      <c r="L26" s="356"/>
      <c r="M26" s="356" t="str">
        <f ca="1">IF(M37="","",RANK(M37,scores2))</f>
        <v/>
      </c>
      <c r="N26" s="356"/>
      <c r="O26" s="356" t="str">
        <f ca="1">IF(O37="","",RANK(O37,scores2))</f>
        <v/>
      </c>
      <c r="P26" s="356"/>
      <c r="Q26" s="356" t="str">
        <f ca="1">IF(Q37="","",RANK(Q37,scores2))</f>
        <v/>
      </c>
      <c r="R26" s="356"/>
      <c r="S26" s="31"/>
      <c r="T26" s="29"/>
      <c r="U26" s="29"/>
      <c r="V26" s="29"/>
      <c r="W26" s="29"/>
    </row>
    <row r="27" spans="1:23" ht="15" customHeight="1">
      <c r="B27" s="33"/>
      <c r="C27" s="530">
        <v>3</v>
      </c>
      <c r="D27" s="40" t="s">
        <v>164</v>
      </c>
      <c r="E27" s="47"/>
      <c r="F27" s="355" t="str">
        <f>IF(MCAin!T19="","",MCAin!T19)</f>
        <v/>
      </c>
      <c r="G27" s="356" t="str">
        <f ca="1">IF(G38="","",RANK(G38,scores3))</f>
        <v/>
      </c>
      <c r="H27" s="356"/>
      <c r="I27" s="356" t="str">
        <f ca="1">IF(I38="","",RANK(I38,scores3))</f>
        <v/>
      </c>
      <c r="J27" s="356"/>
      <c r="K27" s="356" t="str">
        <f ca="1">IF(K38="","",RANK(K38,scores3))</f>
        <v/>
      </c>
      <c r="L27" s="356"/>
      <c r="M27" s="356" t="str">
        <f ca="1">IF(M38="","",RANK(M38,scores3))</f>
        <v/>
      </c>
      <c r="N27" s="356"/>
      <c r="O27" s="356" t="str">
        <f ca="1">IF(O38="","",RANK(O38,scores3))</f>
        <v/>
      </c>
      <c r="P27" s="356"/>
      <c r="Q27" s="356" t="str">
        <f ca="1">IF(Q38="","",RANK(Q38,scores3))</f>
        <v/>
      </c>
      <c r="R27" s="356"/>
      <c r="S27" s="31"/>
      <c r="T27" s="29"/>
      <c r="U27" s="29"/>
      <c r="V27" s="29"/>
      <c r="W27" s="29"/>
    </row>
    <row r="28" spans="1:23" ht="15" customHeight="1">
      <c r="B28" s="33"/>
      <c r="C28" s="530">
        <v>4</v>
      </c>
      <c r="D28" s="40" t="s">
        <v>165</v>
      </c>
      <c r="E28" s="47"/>
      <c r="F28" s="355" t="str">
        <f>IF(MCAin!U19="","",MCAin!U19)</f>
        <v/>
      </c>
      <c r="G28" s="356" t="str">
        <f ca="1">IF(G39="","",RANK(G39,scores4))</f>
        <v/>
      </c>
      <c r="H28" s="356"/>
      <c r="I28" s="356" t="str">
        <f ca="1">IF(I39="","",RANK(I39,scores4))</f>
        <v/>
      </c>
      <c r="J28" s="356"/>
      <c r="K28" s="356" t="str">
        <f ca="1">IF(K39="","",RANK(K39,scores4))</f>
        <v/>
      </c>
      <c r="L28" s="356"/>
      <c r="M28" s="356" t="str">
        <f ca="1">IF(M39="","",RANK(M39,scores4))</f>
        <v/>
      </c>
      <c r="N28" s="356"/>
      <c r="O28" s="356" t="str">
        <f ca="1">IF(O39="","",RANK(O39,scores4))</f>
        <v/>
      </c>
      <c r="P28" s="356"/>
      <c r="Q28" s="356" t="str">
        <f ca="1">IF(Q39="","",RANK(Q39,scores4))</f>
        <v/>
      </c>
      <c r="R28" s="356"/>
      <c r="S28" s="31"/>
      <c r="T28" s="29"/>
      <c r="U28" s="29"/>
      <c r="V28" s="29"/>
      <c r="W28" s="29"/>
    </row>
    <row r="29" spans="1:23" ht="15" customHeight="1">
      <c r="B29" s="33"/>
      <c r="C29" s="530">
        <v>5</v>
      </c>
      <c r="D29" s="40" t="s">
        <v>166</v>
      </c>
      <c r="E29" s="47"/>
      <c r="F29" s="355" t="str">
        <f>IF(MCAin!V19="","",MCAin!V19)</f>
        <v/>
      </c>
      <c r="G29" s="356" t="str">
        <f ca="1">IF(G40="","",RANK(G40,scores5))</f>
        <v/>
      </c>
      <c r="H29" s="356"/>
      <c r="I29" s="356" t="str">
        <f ca="1">IF(I40="","",RANK(I40,scores5))</f>
        <v/>
      </c>
      <c r="J29" s="356"/>
      <c r="K29" s="356" t="str">
        <f ca="1">IF(K40="","",RANK(K40,scores5))</f>
        <v/>
      </c>
      <c r="L29" s="356"/>
      <c r="M29" s="356" t="str">
        <f ca="1">IF(M40="","",RANK(M40,scores5))</f>
        <v/>
      </c>
      <c r="N29" s="356"/>
      <c r="O29" s="356" t="str">
        <f ca="1">IF(O40="","",RANK(O40,scores5))</f>
        <v/>
      </c>
      <c r="P29" s="356"/>
      <c r="Q29" s="356" t="str">
        <f ca="1">IF(Q40="","",RANK(Q40,scores5))</f>
        <v/>
      </c>
      <c r="R29" s="356"/>
      <c r="S29" s="31"/>
      <c r="T29" s="29"/>
      <c r="U29" s="29"/>
      <c r="V29" s="29"/>
      <c r="W29" s="29"/>
    </row>
    <row r="30" spans="1:23" ht="15" customHeight="1">
      <c r="B30" s="33"/>
      <c r="C30" s="530">
        <v>6</v>
      </c>
      <c r="D30" s="40" t="s">
        <v>167</v>
      </c>
      <c r="E30" s="47"/>
      <c r="F30" s="355" t="str">
        <f>IF(MCAin!W19="","",MCAin!W19)</f>
        <v/>
      </c>
      <c r="G30" s="356" t="str">
        <f ca="1">IF(G41="","",RANK(G41,scores6))</f>
        <v/>
      </c>
      <c r="H30" s="356"/>
      <c r="I30" s="356" t="str">
        <f ca="1">IF(I41="","",RANK(I41,scores6))</f>
        <v/>
      </c>
      <c r="J30" s="356"/>
      <c r="K30" s="356" t="str">
        <f ca="1">IF(K41="","",RANK(K41,scores6))</f>
        <v/>
      </c>
      <c r="L30" s="356"/>
      <c r="M30" s="356" t="str">
        <f ca="1">IF(M41="","",RANK(M41,scores6))</f>
        <v/>
      </c>
      <c r="N30" s="356"/>
      <c r="O30" s="356" t="str">
        <f ca="1">IF(O41="","",RANK(O41,scores6))</f>
        <v/>
      </c>
      <c r="P30" s="356"/>
      <c r="Q30" s="356" t="str">
        <f ca="1">IF(Q41="","",RANK(Q41,scores6))</f>
        <v/>
      </c>
      <c r="R30" s="356"/>
      <c r="S30" s="31"/>
      <c r="T30" s="29"/>
      <c r="U30" s="29"/>
      <c r="V30" s="29"/>
      <c r="W30" s="29"/>
    </row>
    <row r="31" spans="1:23" ht="15" customHeight="1">
      <c r="B31" s="33"/>
      <c r="C31" s="530">
        <v>7</v>
      </c>
      <c r="D31" s="40" t="s">
        <v>168</v>
      </c>
      <c r="E31" s="47"/>
      <c r="F31" s="355" t="str">
        <f>IF(MCAin!X19="","",MCAin!X19)</f>
        <v/>
      </c>
      <c r="G31" s="356" t="str">
        <f ca="1">IF(G42="","",RANK(G42,scores7))</f>
        <v/>
      </c>
      <c r="H31" s="356"/>
      <c r="I31" s="356" t="str">
        <f ca="1">IF(I42="","",RANK(I42,scores7))</f>
        <v/>
      </c>
      <c r="J31" s="356"/>
      <c r="K31" s="356" t="str">
        <f ca="1">IF(K42="","",RANK(K42,scores7))</f>
        <v/>
      </c>
      <c r="L31" s="356"/>
      <c r="M31" s="356" t="str">
        <f ca="1">IF(M42="","",RANK(M42,scores7))</f>
        <v/>
      </c>
      <c r="N31" s="356"/>
      <c r="O31" s="356" t="str">
        <f ca="1">IF(O42="","",RANK(O42,scores7))</f>
        <v/>
      </c>
      <c r="P31" s="356"/>
      <c r="Q31" s="356" t="str">
        <f ca="1">IF(Q42="","",RANK(Q42,scores7))</f>
        <v/>
      </c>
      <c r="R31" s="356"/>
      <c r="S31" s="31"/>
      <c r="T31" s="29"/>
      <c r="U31" s="29"/>
      <c r="V31" s="29"/>
      <c r="W31" s="29"/>
    </row>
    <row r="32" spans="1:23" ht="15" customHeight="1">
      <c r="B32" s="33"/>
      <c r="C32" s="530">
        <v>8</v>
      </c>
      <c r="D32" s="40" t="s">
        <v>169</v>
      </c>
      <c r="E32" s="47"/>
      <c r="F32" s="355" t="str">
        <f>IF(MCAin!Y19="","",MCAin!Y19)</f>
        <v/>
      </c>
      <c r="G32" s="356" t="str">
        <f ca="1">IF(G43="","",RANK(G43,scores8))</f>
        <v/>
      </c>
      <c r="H32" s="356"/>
      <c r="I32" s="356" t="str">
        <f ca="1">IF(I43="","",RANK(I43,scores8))</f>
        <v/>
      </c>
      <c r="J32" s="356"/>
      <c r="K32" s="356" t="str">
        <f ca="1">IF(K43="","",RANK(K43,scores8))</f>
        <v/>
      </c>
      <c r="L32" s="356"/>
      <c r="M32" s="356" t="str">
        <f ca="1">IF(M43="","",RANK(M43,scores8))</f>
        <v/>
      </c>
      <c r="N32" s="356"/>
      <c r="O32" s="356" t="str">
        <f ca="1">IF(O43="","",RANK(O43,scores8))</f>
        <v/>
      </c>
      <c r="P32" s="356"/>
      <c r="Q32" s="356" t="str">
        <f ca="1">IF(Q43="","",RANK(Q43,scores8))</f>
        <v/>
      </c>
      <c r="R32" s="356"/>
      <c r="S32" s="31"/>
      <c r="T32" s="29"/>
      <c r="U32" s="29"/>
      <c r="V32" s="29"/>
      <c r="W32" s="29"/>
    </row>
    <row r="33" spans="2:23" ht="15" customHeight="1">
      <c r="B33" s="34"/>
      <c r="C33" s="531"/>
      <c r="D33" s="277"/>
      <c r="E33" s="277"/>
      <c r="F33" s="277"/>
      <c r="G33" s="364"/>
      <c r="H33" s="364"/>
      <c r="I33" s="364"/>
      <c r="J33" s="364"/>
      <c r="K33" s="364"/>
      <c r="L33" s="364"/>
      <c r="M33" s="364"/>
      <c r="N33" s="364"/>
      <c r="O33" s="364"/>
      <c r="P33" s="364"/>
      <c r="Q33" s="364"/>
      <c r="R33" s="364"/>
      <c r="S33" s="36"/>
      <c r="T33" s="29"/>
      <c r="U33" s="29"/>
      <c r="V33" s="29"/>
      <c r="W33" s="29"/>
    </row>
    <row r="34" spans="2:23" ht="15" customHeight="1">
      <c r="B34" s="353"/>
      <c r="C34" s="530">
        <v>17</v>
      </c>
      <c r="D34" s="532"/>
      <c r="E34" s="533"/>
      <c r="F34" s="533"/>
      <c r="G34" s="1104" t="s">
        <v>171</v>
      </c>
      <c r="H34" s="1104"/>
      <c r="I34" s="1104"/>
      <c r="J34" s="1104"/>
      <c r="K34" s="1104"/>
      <c r="L34" s="1104"/>
      <c r="M34" s="1104"/>
      <c r="N34" s="1104"/>
      <c r="O34" s="1104"/>
      <c r="P34" s="1104"/>
      <c r="Q34" s="1104"/>
      <c r="R34" s="1104"/>
      <c r="S34" s="354"/>
      <c r="T34" s="29"/>
      <c r="U34" s="29"/>
      <c r="V34" s="29"/>
      <c r="W34" s="29"/>
    </row>
    <row r="35" spans="2:23" ht="15" customHeight="1">
      <c r="B35" s="353"/>
      <c r="C35" s="530"/>
      <c r="D35" s="40" t="s">
        <v>198</v>
      </c>
      <c r="E35" s="97"/>
      <c r="F35" s="97"/>
      <c r="G35" s="368" t="str">
        <f t="shared" ref="G35:Q35" ca="1" si="1">IFERROR(AVERAGEIF(G36:G43,"&lt;&gt;"""),"")</f>
        <v/>
      </c>
      <c r="H35" s="735" t="str">
        <f t="shared" ref="H35:H43" ca="1" si="2">IF(G35=MAX($G35,$I35,$K35,$M35,$O35,$Q35),1,"")</f>
        <v/>
      </c>
      <c r="I35" s="368" t="str">
        <f t="shared" ca="1" si="1"/>
        <v/>
      </c>
      <c r="J35" s="735" t="str">
        <f t="shared" ref="J35:J43" ca="1" si="3">IF(I35=MAX($G35,$I35,$K35,$M35,$O35,$Q35),1,"")</f>
        <v/>
      </c>
      <c r="K35" s="368" t="str">
        <f t="shared" ca="1" si="1"/>
        <v/>
      </c>
      <c r="L35" s="735" t="str">
        <f t="shared" ref="L35:L43" ca="1" si="4">IF(K35=MAX($G35,$I35,$K35,$M35,$O35,$Q35),1,"")</f>
        <v/>
      </c>
      <c r="M35" s="368" t="str">
        <f t="shared" ca="1" si="1"/>
        <v/>
      </c>
      <c r="N35" s="735" t="str">
        <f t="shared" ref="N35:N43" ca="1" si="5">IF(M35=MAX($G35,$I35,$K35,$M35,$O35,$Q35),1,"")</f>
        <v/>
      </c>
      <c r="O35" s="368" t="str">
        <f t="shared" ca="1" si="1"/>
        <v/>
      </c>
      <c r="P35" s="693" t="str">
        <f t="shared" ref="P35:P43" ca="1" si="6">IF(O35=MAX($G35,$I35,$K35,$M35,$O35,$Q35),1,"")</f>
        <v/>
      </c>
      <c r="Q35" s="368" t="str">
        <f t="shared" ca="1" si="1"/>
        <v/>
      </c>
      <c r="R35" s="735" t="str">
        <f t="shared" ref="R35:R43" ca="1" si="7">IF(Q35=MAX($G35,$I35,$K35,$M35,$O35,$Q35),1,"")</f>
        <v/>
      </c>
      <c r="S35" s="354"/>
      <c r="T35" s="29"/>
      <c r="U35" s="29"/>
      <c r="V35" s="29"/>
      <c r="W35" s="29"/>
    </row>
    <row r="36" spans="2:23" ht="15" customHeight="1">
      <c r="B36" s="33"/>
      <c r="C36" s="530">
        <v>1</v>
      </c>
      <c r="D36" s="40" t="s">
        <v>162</v>
      </c>
      <c r="E36" s="29"/>
      <c r="F36" s="355" t="str">
        <f>F25</f>
        <v/>
      </c>
      <c r="G36" s="693" t="str">
        <f ca="1">INDEX(INDIRECT("assessor"&amp;$C36),C34,G$22)</f>
        <v/>
      </c>
      <c r="H36" s="736" t="str">
        <f t="shared" ca="1" si="2"/>
        <v/>
      </c>
      <c r="I36" s="693" t="str">
        <f ca="1">INDEX(INDIRECT("assessor"&amp;$C36),C34,I$22)</f>
        <v/>
      </c>
      <c r="J36" s="736" t="str">
        <f t="shared" ca="1" si="3"/>
        <v/>
      </c>
      <c r="K36" s="693" t="str">
        <f ca="1">INDEX(INDIRECT("assessor"&amp;$C36),C34,K$22)</f>
        <v/>
      </c>
      <c r="L36" s="736" t="str">
        <f t="shared" ca="1" si="4"/>
        <v/>
      </c>
      <c r="M36" s="693" t="str">
        <f ca="1">INDEX(INDIRECT("assessor"&amp;$C36),C34,M$22)</f>
        <v/>
      </c>
      <c r="N36" s="736" t="str">
        <f t="shared" ca="1" si="5"/>
        <v/>
      </c>
      <c r="O36" s="693" t="str">
        <f ca="1">INDEX(INDIRECT("assessor"&amp;$C36),C34,O$22)</f>
        <v/>
      </c>
      <c r="P36" s="736" t="str">
        <f t="shared" ca="1" si="6"/>
        <v/>
      </c>
      <c r="Q36" s="693" t="str">
        <f ca="1">INDEX(INDIRECT("assessor"&amp;$C36),C34,Q$22)</f>
        <v/>
      </c>
      <c r="R36" s="736" t="str">
        <f t="shared" ca="1" si="7"/>
        <v/>
      </c>
      <c r="S36" s="31"/>
      <c r="T36" s="29"/>
      <c r="U36" s="29"/>
      <c r="V36" s="29"/>
      <c r="W36" s="29"/>
    </row>
    <row r="37" spans="2:23" ht="15" customHeight="1">
      <c r="B37" s="33"/>
      <c r="C37" s="530">
        <v>2</v>
      </c>
      <c r="D37" s="40" t="s">
        <v>163</v>
      </c>
      <c r="E37" s="29"/>
      <c r="F37" s="355" t="str">
        <f t="shared" ref="F37:F43" si="8">F26</f>
        <v/>
      </c>
      <c r="G37" s="693" t="str">
        <f ca="1">INDEX(INDIRECT("assessor"&amp;$C37),C34,G$22)</f>
        <v/>
      </c>
      <c r="H37" s="736" t="str">
        <f t="shared" ca="1" si="2"/>
        <v/>
      </c>
      <c r="I37" s="693" t="str">
        <f ca="1">INDEX(INDIRECT("assessor"&amp;$C37),C34,I$22)</f>
        <v/>
      </c>
      <c r="J37" s="736" t="str">
        <f t="shared" ca="1" si="3"/>
        <v/>
      </c>
      <c r="K37" s="693" t="str">
        <f ca="1">INDEX(INDIRECT("assessor"&amp;$C37),C34,K$22)</f>
        <v/>
      </c>
      <c r="L37" s="736" t="str">
        <f t="shared" ca="1" si="4"/>
        <v/>
      </c>
      <c r="M37" s="693" t="str">
        <f ca="1">INDEX(INDIRECT("assessor"&amp;$C37),C34,M$22)</f>
        <v/>
      </c>
      <c r="N37" s="736" t="str">
        <f t="shared" ca="1" si="5"/>
        <v/>
      </c>
      <c r="O37" s="693" t="str">
        <f ca="1">INDEX(INDIRECT("assessor"&amp;$C37),C34,O$22)</f>
        <v/>
      </c>
      <c r="P37" s="736" t="str">
        <f t="shared" ca="1" si="6"/>
        <v/>
      </c>
      <c r="Q37" s="693" t="str">
        <f ca="1">INDEX(INDIRECT("assessor"&amp;$C37),C34,Q$22)</f>
        <v/>
      </c>
      <c r="R37" s="736" t="str">
        <f t="shared" ca="1" si="7"/>
        <v/>
      </c>
      <c r="S37" s="31"/>
      <c r="T37" s="29"/>
      <c r="U37" s="29"/>
      <c r="V37" s="29"/>
      <c r="W37" s="29"/>
    </row>
    <row r="38" spans="2:23" ht="15" customHeight="1">
      <c r="B38" s="33"/>
      <c r="C38" s="530">
        <v>3</v>
      </c>
      <c r="D38" s="40" t="s">
        <v>164</v>
      </c>
      <c r="E38" s="26"/>
      <c r="F38" s="355" t="str">
        <f t="shared" si="8"/>
        <v/>
      </c>
      <c r="G38" s="693" t="str">
        <f ca="1">INDEX(INDIRECT("assessor"&amp;$C38),C34,G$22)</f>
        <v/>
      </c>
      <c r="H38" s="736" t="str">
        <f t="shared" ca="1" si="2"/>
        <v/>
      </c>
      <c r="I38" s="693" t="str">
        <f ca="1">INDEX(INDIRECT("assessor"&amp;$C38),C34,I$22)</f>
        <v/>
      </c>
      <c r="J38" s="736" t="str">
        <f t="shared" ca="1" si="3"/>
        <v/>
      </c>
      <c r="K38" s="693" t="str">
        <f ca="1">INDEX(INDIRECT("assessor"&amp;$C38),C34,K$22)</f>
        <v/>
      </c>
      <c r="L38" s="736" t="str">
        <f t="shared" ca="1" si="4"/>
        <v/>
      </c>
      <c r="M38" s="693" t="str">
        <f ca="1">INDEX(INDIRECT("assessor"&amp;$C38),C34,M$22)</f>
        <v/>
      </c>
      <c r="N38" s="736" t="str">
        <f t="shared" ca="1" si="5"/>
        <v/>
      </c>
      <c r="O38" s="693" t="str">
        <f ca="1">INDEX(INDIRECT("assessor"&amp;$C38),C34,O$22)</f>
        <v/>
      </c>
      <c r="P38" s="736" t="str">
        <f t="shared" ca="1" si="6"/>
        <v/>
      </c>
      <c r="Q38" s="693" t="str">
        <f ca="1">INDEX(INDIRECT("assessor"&amp;$C38),C34,Q$22)</f>
        <v/>
      </c>
      <c r="R38" s="736" t="str">
        <f t="shared" ca="1" si="7"/>
        <v/>
      </c>
      <c r="S38" s="31"/>
      <c r="T38" s="29"/>
      <c r="U38" s="29"/>
      <c r="V38" s="29"/>
      <c r="W38" s="29"/>
    </row>
    <row r="39" spans="2:23" ht="15" customHeight="1">
      <c r="B39" s="33"/>
      <c r="C39" s="530">
        <v>4</v>
      </c>
      <c r="D39" s="40" t="s">
        <v>165</v>
      </c>
      <c r="E39" s="26"/>
      <c r="F39" s="355" t="str">
        <f t="shared" si="8"/>
        <v/>
      </c>
      <c r="G39" s="693" t="str">
        <f ca="1">INDEX(INDIRECT("assessor"&amp;$C39),C34,G$22)</f>
        <v/>
      </c>
      <c r="H39" s="736" t="str">
        <f t="shared" ca="1" si="2"/>
        <v/>
      </c>
      <c r="I39" s="693" t="str">
        <f ca="1">INDEX(INDIRECT("assessor"&amp;$C39),C34,I$22)</f>
        <v/>
      </c>
      <c r="J39" s="736" t="str">
        <f t="shared" ca="1" si="3"/>
        <v/>
      </c>
      <c r="K39" s="693" t="str">
        <f ca="1">INDEX(INDIRECT("assessor"&amp;$C39),C34,K$22)</f>
        <v/>
      </c>
      <c r="L39" s="736" t="str">
        <f t="shared" ca="1" si="4"/>
        <v/>
      </c>
      <c r="M39" s="693" t="str">
        <f ca="1">INDEX(INDIRECT("assessor"&amp;$C39),C34,M$22)</f>
        <v/>
      </c>
      <c r="N39" s="736" t="str">
        <f t="shared" ca="1" si="5"/>
        <v/>
      </c>
      <c r="O39" s="693" t="str">
        <f ca="1">INDEX(INDIRECT("assessor"&amp;$C39),C34,O$22)</f>
        <v/>
      </c>
      <c r="P39" s="736" t="str">
        <f t="shared" ca="1" si="6"/>
        <v/>
      </c>
      <c r="Q39" s="693" t="str">
        <f ca="1">INDEX(INDIRECT("assessor"&amp;$C39),C34,Q$22)</f>
        <v/>
      </c>
      <c r="R39" s="736" t="str">
        <f t="shared" ca="1" si="7"/>
        <v/>
      </c>
      <c r="S39" s="31"/>
      <c r="T39" s="29"/>
      <c r="U39" s="29"/>
      <c r="V39" s="29"/>
      <c r="W39" s="29"/>
    </row>
    <row r="40" spans="2:23" ht="15" customHeight="1">
      <c r="B40" s="33"/>
      <c r="C40" s="530">
        <v>5</v>
      </c>
      <c r="D40" s="40" t="s">
        <v>166</v>
      </c>
      <c r="E40" s="26"/>
      <c r="F40" s="355" t="str">
        <f t="shared" si="8"/>
        <v/>
      </c>
      <c r="G40" s="693" t="str">
        <f ca="1">INDEX(INDIRECT("assessor"&amp;$C40),C34,G$22)</f>
        <v/>
      </c>
      <c r="H40" s="736" t="str">
        <f t="shared" ca="1" si="2"/>
        <v/>
      </c>
      <c r="I40" s="693" t="str">
        <f ca="1">INDEX(INDIRECT("assessor"&amp;$C40),C34,I$22)</f>
        <v/>
      </c>
      <c r="J40" s="736" t="str">
        <f t="shared" ca="1" si="3"/>
        <v/>
      </c>
      <c r="K40" s="693" t="str">
        <f ca="1">INDEX(INDIRECT("assessor"&amp;$C40),C34,K$22)</f>
        <v/>
      </c>
      <c r="L40" s="736" t="str">
        <f t="shared" ca="1" si="4"/>
        <v/>
      </c>
      <c r="M40" s="693" t="str">
        <f ca="1">INDEX(INDIRECT("assessor"&amp;$C40),C34,M$22)</f>
        <v/>
      </c>
      <c r="N40" s="736" t="str">
        <f t="shared" ca="1" si="5"/>
        <v/>
      </c>
      <c r="O40" s="693" t="str">
        <f ca="1">INDEX(INDIRECT("assessor"&amp;$C40),C34,O$22)</f>
        <v/>
      </c>
      <c r="P40" s="736" t="str">
        <f t="shared" ca="1" si="6"/>
        <v/>
      </c>
      <c r="Q40" s="693" t="str">
        <f ca="1">INDEX(INDIRECT("assessor"&amp;$C40),C34,Q$22)</f>
        <v/>
      </c>
      <c r="R40" s="736" t="str">
        <f t="shared" ca="1" si="7"/>
        <v/>
      </c>
      <c r="S40" s="31"/>
      <c r="T40" s="29"/>
      <c r="U40" s="29"/>
      <c r="V40" s="29"/>
      <c r="W40" s="29"/>
    </row>
    <row r="41" spans="2:23" ht="15" customHeight="1">
      <c r="B41" s="33"/>
      <c r="C41" s="530">
        <v>6</v>
      </c>
      <c r="D41" s="40" t="s">
        <v>167</v>
      </c>
      <c r="E41" s="26"/>
      <c r="F41" s="355" t="str">
        <f t="shared" si="8"/>
        <v/>
      </c>
      <c r="G41" s="693" t="str">
        <f ca="1">INDEX(INDIRECT("assessor"&amp;$C41),C34,G$22)</f>
        <v/>
      </c>
      <c r="H41" s="736" t="str">
        <f t="shared" ca="1" si="2"/>
        <v/>
      </c>
      <c r="I41" s="693" t="str">
        <f ca="1">INDEX(INDIRECT("assessor"&amp;$C41),C34,I$22)</f>
        <v/>
      </c>
      <c r="J41" s="736" t="str">
        <f t="shared" ca="1" si="3"/>
        <v/>
      </c>
      <c r="K41" s="693" t="str">
        <f ca="1">INDEX(INDIRECT("assessor"&amp;$C41),C34,K$22)</f>
        <v/>
      </c>
      <c r="L41" s="736" t="str">
        <f t="shared" ca="1" si="4"/>
        <v/>
      </c>
      <c r="M41" s="693" t="str">
        <f ca="1">INDEX(INDIRECT("assessor"&amp;$C41),C34,M$22)</f>
        <v/>
      </c>
      <c r="N41" s="736" t="str">
        <f t="shared" ca="1" si="5"/>
        <v/>
      </c>
      <c r="O41" s="693" t="str">
        <f ca="1">INDEX(INDIRECT("assessor"&amp;$C41),C34,O$22)</f>
        <v/>
      </c>
      <c r="P41" s="736" t="str">
        <f t="shared" ca="1" si="6"/>
        <v/>
      </c>
      <c r="Q41" s="693" t="str">
        <f ca="1">INDEX(INDIRECT("assessor"&amp;$C41),C34,Q$22)</f>
        <v/>
      </c>
      <c r="R41" s="736" t="str">
        <f t="shared" ca="1" si="7"/>
        <v/>
      </c>
      <c r="S41" s="31"/>
      <c r="T41" s="29"/>
      <c r="U41" s="29"/>
      <c r="V41" s="29"/>
      <c r="W41" s="29"/>
    </row>
    <row r="42" spans="2:23" ht="15" customHeight="1">
      <c r="B42" s="33"/>
      <c r="C42" s="530">
        <v>7</v>
      </c>
      <c r="D42" s="40" t="s">
        <v>168</v>
      </c>
      <c r="E42" s="26"/>
      <c r="F42" s="355" t="str">
        <f t="shared" si="8"/>
        <v/>
      </c>
      <c r="G42" s="693" t="str">
        <f ca="1">INDEX(INDIRECT("assessor"&amp;$C42),C34,G$22)</f>
        <v/>
      </c>
      <c r="H42" s="736" t="str">
        <f t="shared" ca="1" si="2"/>
        <v/>
      </c>
      <c r="I42" s="693" t="str">
        <f ca="1">INDEX(INDIRECT("assessor"&amp;$C42),C34,I$22)</f>
        <v/>
      </c>
      <c r="J42" s="736" t="str">
        <f t="shared" ca="1" si="3"/>
        <v/>
      </c>
      <c r="K42" s="693" t="str">
        <f ca="1">INDEX(INDIRECT("assessor"&amp;$C42),C34,K$22)</f>
        <v/>
      </c>
      <c r="L42" s="736" t="str">
        <f t="shared" ca="1" si="4"/>
        <v/>
      </c>
      <c r="M42" s="693" t="str">
        <f ca="1">INDEX(INDIRECT("assessor"&amp;$C42),C34,M$22)</f>
        <v/>
      </c>
      <c r="N42" s="736" t="str">
        <f t="shared" ca="1" si="5"/>
        <v/>
      </c>
      <c r="O42" s="693" t="str">
        <f ca="1">INDEX(INDIRECT("assessor"&amp;$C42),C34,O$22)</f>
        <v/>
      </c>
      <c r="P42" s="736" t="str">
        <f t="shared" ca="1" si="6"/>
        <v/>
      </c>
      <c r="Q42" s="693" t="str">
        <f ca="1">INDEX(INDIRECT("assessor"&amp;$C42),C34,Q$22)</f>
        <v/>
      </c>
      <c r="R42" s="736" t="str">
        <f t="shared" ca="1" si="7"/>
        <v/>
      </c>
      <c r="S42" s="31"/>
      <c r="T42" s="29"/>
      <c r="U42" s="29"/>
      <c r="V42" s="29"/>
      <c r="W42" s="29"/>
    </row>
    <row r="43" spans="2:23" ht="15" customHeight="1">
      <c r="B43" s="33"/>
      <c r="C43" s="530">
        <v>8</v>
      </c>
      <c r="D43" s="40" t="s">
        <v>169</v>
      </c>
      <c r="E43" s="26"/>
      <c r="F43" s="355" t="str">
        <f t="shared" si="8"/>
        <v/>
      </c>
      <c r="G43" s="693" t="str">
        <f ca="1">INDEX(INDIRECT("assessor"&amp;$C43),C34,G$22)</f>
        <v/>
      </c>
      <c r="H43" s="736" t="str">
        <f t="shared" ca="1" si="2"/>
        <v/>
      </c>
      <c r="I43" s="693" t="str">
        <f ca="1">INDEX(INDIRECT("assessor"&amp;$C43),C34,I$22)</f>
        <v/>
      </c>
      <c r="J43" s="736" t="str">
        <f t="shared" ca="1" si="3"/>
        <v/>
      </c>
      <c r="K43" s="693" t="str">
        <f ca="1">INDEX(INDIRECT("assessor"&amp;$C43),C34,K$22)</f>
        <v/>
      </c>
      <c r="L43" s="736" t="str">
        <f t="shared" ca="1" si="4"/>
        <v/>
      </c>
      <c r="M43" s="693" t="str">
        <f ca="1">INDEX(INDIRECT("assessor"&amp;$C43),C34,M$22)</f>
        <v/>
      </c>
      <c r="N43" s="736" t="str">
        <f t="shared" ca="1" si="5"/>
        <v/>
      </c>
      <c r="O43" s="693" t="str">
        <f ca="1">INDEX(INDIRECT("assessor"&amp;$C43),C34,O$22)</f>
        <v/>
      </c>
      <c r="P43" s="736" t="str">
        <f t="shared" ca="1" si="6"/>
        <v/>
      </c>
      <c r="Q43" s="693" t="str">
        <f ca="1">INDEX(INDIRECT("assessor"&amp;$C43),C34,Q$22)</f>
        <v/>
      </c>
      <c r="R43" s="736" t="str">
        <f t="shared" ca="1" si="7"/>
        <v/>
      </c>
      <c r="S43" s="31"/>
      <c r="T43" s="29"/>
      <c r="U43" s="29"/>
      <c r="V43" s="29"/>
      <c r="W43" s="29"/>
    </row>
    <row r="44" spans="2:23" ht="15" customHeight="1">
      <c r="B44" s="34"/>
      <c r="C44" s="531"/>
      <c r="D44" s="277"/>
      <c r="E44" s="277"/>
      <c r="F44" s="277"/>
      <c r="G44" s="364"/>
      <c r="H44" s="364"/>
      <c r="I44" s="364"/>
      <c r="J44" s="364"/>
      <c r="K44" s="364"/>
      <c r="L44" s="364"/>
      <c r="M44" s="364"/>
      <c r="N44" s="364"/>
      <c r="O44" s="364"/>
      <c r="P44" s="364"/>
      <c r="Q44" s="364"/>
      <c r="R44" s="364"/>
      <c r="S44" s="36"/>
      <c r="T44" s="29"/>
      <c r="U44" s="29"/>
      <c r="V44" s="29"/>
      <c r="W44" s="29"/>
    </row>
    <row r="45" spans="2:23" ht="15" customHeight="1">
      <c r="B45" s="353"/>
      <c r="C45" s="530">
        <v>1</v>
      </c>
      <c r="D45" s="532"/>
      <c r="E45" s="533"/>
      <c r="F45" s="533"/>
      <c r="G45" s="1104" t="s">
        <v>177</v>
      </c>
      <c r="H45" s="1104"/>
      <c r="I45" s="1104"/>
      <c r="J45" s="1104"/>
      <c r="K45" s="1104"/>
      <c r="L45" s="1104"/>
      <c r="M45" s="1104"/>
      <c r="N45" s="1104"/>
      <c r="O45" s="1104"/>
      <c r="P45" s="1104"/>
      <c r="Q45" s="1104"/>
      <c r="R45" s="1104"/>
      <c r="S45" s="354"/>
      <c r="T45" s="29"/>
      <c r="U45" s="29"/>
      <c r="V45" s="29"/>
      <c r="W45" s="29"/>
    </row>
    <row r="46" spans="2:23" ht="15" customHeight="1">
      <c r="B46" s="353"/>
      <c r="C46" s="530"/>
      <c r="D46" s="40" t="s">
        <v>198</v>
      </c>
      <c r="E46" s="97"/>
      <c r="F46" s="97"/>
      <c r="G46" s="368" t="str">
        <f t="shared" ref="G46:Q46" ca="1" si="9">IFERROR(AVERAGEIF(G47:G54,"&lt;&gt;"""),"")</f>
        <v/>
      </c>
      <c r="H46" s="735" t="str">
        <f t="shared" ref="H46:H54" ca="1" si="10">IF(G46=MAX($G46,$I46,$K46,$M46,$O46,$Q46),1,"")</f>
        <v/>
      </c>
      <c r="I46" s="368" t="str">
        <f t="shared" ca="1" si="9"/>
        <v/>
      </c>
      <c r="J46" s="735" t="str">
        <f t="shared" ref="J46:J54" ca="1" si="11">IF(I46=MAX($G46,$I46,$K46,$M46,$O46,$Q46),1,"")</f>
        <v/>
      </c>
      <c r="K46" s="368" t="str">
        <f t="shared" ca="1" si="9"/>
        <v/>
      </c>
      <c r="L46" s="735" t="str">
        <f t="shared" ref="L46:L54" ca="1" si="12">IF(K46=MAX($G46,$I46,$K46,$M46,$O46,$Q46),1,"")</f>
        <v/>
      </c>
      <c r="M46" s="368" t="str">
        <f t="shared" ca="1" si="9"/>
        <v/>
      </c>
      <c r="N46" s="735" t="str">
        <f t="shared" ref="N46:N54" ca="1" si="13">IF(M46=MAX($G46,$I46,$K46,$M46,$O46,$Q46),1,"")</f>
        <v/>
      </c>
      <c r="O46" s="368" t="str">
        <f t="shared" ca="1" si="9"/>
        <v/>
      </c>
      <c r="P46" s="735" t="str">
        <f t="shared" ref="P46:P54" ca="1" si="14">IF(O46=MAX($G46,$I46,$K46,$M46,$O46,$Q46),1,"")</f>
        <v/>
      </c>
      <c r="Q46" s="368" t="str">
        <f t="shared" ca="1" si="9"/>
        <v/>
      </c>
      <c r="R46" s="735" t="str">
        <f t="shared" ref="R46:R54" ca="1" si="15">IF(Q46=MAX($G46,$I46,$K46,$M46,$O46,$Q46),1,"")</f>
        <v/>
      </c>
      <c r="S46" s="354"/>
      <c r="T46" s="29"/>
      <c r="U46" s="29"/>
      <c r="V46" s="29"/>
      <c r="W46" s="29"/>
    </row>
    <row r="47" spans="2:23" ht="15" customHeight="1">
      <c r="B47" s="33"/>
      <c r="C47" s="530">
        <v>1</v>
      </c>
      <c r="D47" s="40" t="s">
        <v>162</v>
      </c>
      <c r="E47" s="29"/>
      <c r="F47" s="355" t="str">
        <f>F36</f>
        <v/>
      </c>
      <c r="G47" s="693" t="str">
        <f ca="1">INDEX(INDIRECT("assessor"&amp;$C47),C45,G$22)</f>
        <v/>
      </c>
      <c r="H47" s="736" t="str">
        <f t="shared" ca="1" si="10"/>
        <v/>
      </c>
      <c r="I47" s="693" t="str">
        <f ca="1">INDEX(INDIRECT("assessor"&amp;$C47),C45,I$22)</f>
        <v/>
      </c>
      <c r="J47" s="736" t="str">
        <f t="shared" ca="1" si="11"/>
        <v/>
      </c>
      <c r="K47" s="693" t="str">
        <f ca="1">INDEX(INDIRECT("assessor"&amp;$C47),C45,K$22)</f>
        <v/>
      </c>
      <c r="L47" s="736" t="str">
        <f t="shared" ca="1" si="12"/>
        <v/>
      </c>
      <c r="M47" s="693" t="str">
        <f ca="1">INDEX(INDIRECT("assessor"&amp;$C47),C45,M$22)</f>
        <v/>
      </c>
      <c r="N47" s="736" t="str">
        <f t="shared" ca="1" si="13"/>
        <v/>
      </c>
      <c r="O47" s="693" t="str">
        <f ca="1">INDEX(INDIRECT("assessor"&amp;$C47),C45,O$22)</f>
        <v/>
      </c>
      <c r="P47" s="736" t="str">
        <f t="shared" ca="1" si="14"/>
        <v/>
      </c>
      <c r="Q47" s="693" t="str">
        <f ca="1">INDEX(INDIRECT("assessor"&amp;$C47),C45,Q$22)</f>
        <v/>
      </c>
      <c r="R47" s="736" t="str">
        <f t="shared" ca="1" si="15"/>
        <v/>
      </c>
      <c r="S47" s="31"/>
      <c r="T47" s="29"/>
      <c r="U47" s="29"/>
      <c r="V47" s="29"/>
      <c r="W47" s="29"/>
    </row>
    <row r="48" spans="2:23" ht="15" customHeight="1">
      <c r="B48" s="33"/>
      <c r="C48" s="530">
        <v>2</v>
      </c>
      <c r="D48" s="40" t="s">
        <v>163</v>
      </c>
      <c r="E48" s="29"/>
      <c r="F48" s="355" t="str">
        <f t="shared" ref="F48:F54" si="16">F37</f>
        <v/>
      </c>
      <c r="G48" s="693" t="str">
        <f ca="1">INDEX(INDIRECT("assessor"&amp;$C48),C45,G$22)</f>
        <v/>
      </c>
      <c r="H48" s="736" t="str">
        <f t="shared" ca="1" si="10"/>
        <v/>
      </c>
      <c r="I48" s="693" t="str">
        <f ca="1">INDEX(INDIRECT("assessor"&amp;$C48),C45,I$22)</f>
        <v/>
      </c>
      <c r="J48" s="736" t="str">
        <f t="shared" ca="1" si="11"/>
        <v/>
      </c>
      <c r="K48" s="693" t="str">
        <f ca="1">INDEX(INDIRECT("assessor"&amp;$C48),C45,K$22)</f>
        <v/>
      </c>
      <c r="L48" s="736" t="str">
        <f t="shared" ca="1" si="12"/>
        <v/>
      </c>
      <c r="M48" s="693" t="str">
        <f ca="1">INDEX(INDIRECT("assessor"&amp;$C48),C45,M$22)</f>
        <v/>
      </c>
      <c r="N48" s="736" t="str">
        <f t="shared" ca="1" si="13"/>
        <v/>
      </c>
      <c r="O48" s="693" t="str">
        <f ca="1">INDEX(INDIRECT("assessor"&amp;$C48),C45,O$22)</f>
        <v/>
      </c>
      <c r="P48" s="736" t="str">
        <f t="shared" ca="1" si="14"/>
        <v/>
      </c>
      <c r="Q48" s="693" t="str">
        <f ca="1">INDEX(INDIRECT("assessor"&amp;$C48),C45,Q$22)</f>
        <v/>
      </c>
      <c r="R48" s="736" t="str">
        <f t="shared" ca="1" si="15"/>
        <v/>
      </c>
      <c r="S48" s="31"/>
      <c r="T48" s="29"/>
      <c r="U48" s="29"/>
      <c r="V48" s="29"/>
      <c r="W48" s="29"/>
    </row>
    <row r="49" spans="2:23" ht="15" customHeight="1">
      <c r="B49" s="33"/>
      <c r="C49" s="530">
        <v>3</v>
      </c>
      <c r="D49" s="40" t="s">
        <v>164</v>
      </c>
      <c r="E49" s="26"/>
      <c r="F49" s="355" t="str">
        <f t="shared" si="16"/>
        <v/>
      </c>
      <c r="G49" s="693" t="str">
        <f ca="1">INDEX(INDIRECT("assessor"&amp;$C49),C45,G$22)</f>
        <v/>
      </c>
      <c r="H49" s="736" t="str">
        <f t="shared" ca="1" si="10"/>
        <v/>
      </c>
      <c r="I49" s="693" t="str">
        <f ca="1">INDEX(INDIRECT("assessor"&amp;$C49),C45,I$22)</f>
        <v/>
      </c>
      <c r="J49" s="736" t="str">
        <f t="shared" ca="1" si="11"/>
        <v/>
      </c>
      <c r="K49" s="693" t="str">
        <f ca="1">INDEX(INDIRECT("assessor"&amp;$C49),C45,K$22)</f>
        <v/>
      </c>
      <c r="L49" s="736" t="str">
        <f t="shared" ca="1" si="12"/>
        <v/>
      </c>
      <c r="M49" s="693" t="str">
        <f ca="1">INDEX(INDIRECT("assessor"&amp;$C49),C45,M$22)</f>
        <v/>
      </c>
      <c r="N49" s="736" t="str">
        <f t="shared" ca="1" si="13"/>
        <v/>
      </c>
      <c r="O49" s="693" t="str">
        <f ca="1">INDEX(INDIRECT("assessor"&amp;$C49),C45,O$22)</f>
        <v/>
      </c>
      <c r="P49" s="736" t="str">
        <f t="shared" ca="1" si="14"/>
        <v/>
      </c>
      <c r="Q49" s="693" t="str">
        <f ca="1">INDEX(INDIRECT("assessor"&amp;$C49),C45,Q$22)</f>
        <v/>
      </c>
      <c r="R49" s="736" t="str">
        <f t="shared" ca="1" si="15"/>
        <v/>
      </c>
      <c r="S49" s="31"/>
      <c r="T49" s="29"/>
      <c r="U49" s="29"/>
      <c r="V49" s="29"/>
      <c r="W49" s="29"/>
    </row>
    <row r="50" spans="2:23" ht="15" customHeight="1">
      <c r="B50" s="33"/>
      <c r="C50" s="530">
        <v>4</v>
      </c>
      <c r="D50" s="40" t="s">
        <v>165</v>
      </c>
      <c r="E50" s="26"/>
      <c r="F50" s="355" t="str">
        <f t="shared" si="16"/>
        <v/>
      </c>
      <c r="G50" s="693" t="str">
        <f ca="1">INDEX(INDIRECT("assessor"&amp;$C50),C45,G$22)</f>
        <v/>
      </c>
      <c r="H50" s="736" t="str">
        <f t="shared" ca="1" si="10"/>
        <v/>
      </c>
      <c r="I50" s="693" t="str">
        <f ca="1">INDEX(INDIRECT("assessor"&amp;$C50),C45,I$22)</f>
        <v/>
      </c>
      <c r="J50" s="736" t="str">
        <f t="shared" ca="1" si="11"/>
        <v/>
      </c>
      <c r="K50" s="693" t="str">
        <f ca="1">INDEX(INDIRECT("assessor"&amp;$C50),C45,K$22)</f>
        <v/>
      </c>
      <c r="L50" s="736" t="str">
        <f t="shared" ca="1" si="12"/>
        <v/>
      </c>
      <c r="M50" s="693" t="str">
        <f ca="1">INDEX(INDIRECT("assessor"&amp;$C50),C45,M$22)</f>
        <v/>
      </c>
      <c r="N50" s="736" t="str">
        <f t="shared" ca="1" si="13"/>
        <v/>
      </c>
      <c r="O50" s="693" t="str">
        <f ca="1">INDEX(INDIRECT("assessor"&amp;$C50),C45,O$22)</f>
        <v/>
      </c>
      <c r="P50" s="736" t="str">
        <f t="shared" ca="1" si="14"/>
        <v/>
      </c>
      <c r="Q50" s="693" t="str">
        <f ca="1">INDEX(INDIRECT("assessor"&amp;$C50),C45,Q$22)</f>
        <v/>
      </c>
      <c r="R50" s="736" t="str">
        <f t="shared" ca="1" si="15"/>
        <v/>
      </c>
      <c r="S50" s="31"/>
      <c r="T50" s="29"/>
      <c r="U50" s="29"/>
      <c r="V50" s="29"/>
      <c r="W50" s="29"/>
    </row>
    <row r="51" spans="2:23" ht="15" customHeight="1">
      <c r="B51" s="33"/>
      <c r="C51" s="530">
        <v>5</v>
      </c>
      <c r="D51" s="40" t="s">
        <v>166</v>
      </c>
      <c r="E51" s="26"/>
      <c r="F51" s="355" t="str">
        <f t="shared" si="16"/>
        <v/>
      </c>
      <c r="G51" s="693" t="str">
        <f ca="1">INDEX(INDIRECT("assessor"&amp;$C51),C45,G$22)</f>
        <v/>
      </c>
      <c r="H51" s="736" t="str">
        <f t="shared" ca="1" si="10"/>
        <v/>
      </c>
      <c r="I51" s="693" t="str">
        <f ca="1">INDEX(INDIRECT("assessor"&amp;$C51),C45,I$22)</f>
        <v/>
      </c>
      <c r="J51" s="736" t="str">
        <f t="shared" ca="1" si="11"/>
        <v/>
      </c>
      <c r="K51" s="693" t="str">
        <f ca="1">INDEX(INDIRECT("assessor"&amp;$C51),C45,K$22)</f>
        <v/>
      </c>
      <c r="L51" s="736" t="str">
        <f t="shared" ca="1" si="12"/>
        <v/>
      </c>
      <c r="M51" s="693" t="str">
        <f ca="1">INDEX(INDIRECT("assessor"&amp;$C51),C45,M$22)</f>
        <v/>
      </c>
      <c r="N51" s="736" t="str">
        <f t="shared" ca="1" si="13"/>
        <v/>
      </c>
      <c r="O51" s="693" t="str">
        <f ca="1">INDEX(INDIRECT("assessor"&amp;$C51),C45,O$22)</f>
        <v/>
      </c>
      <c r="P51" s="736" t="str">
        <f t="shared" ca="1" si="14"/>
        <v/>
      </c>
      <c r="Q51" s="693" t="str">
        <f ca="1">INDEX(INDIRECT("assessor"&amp;$C51),C45,Q$22)</f>
        <v/>
      </c>
      <c r="R51" s="736" t="str">
        <f t="shared" ca="1" si="15"/>
        <v/>
      </c>
      <c r="S51" s="31"/>
      <c r="T51" s="29"/>
      <c r="U51" s="29"/>
      <c r="V51" s="29"/>
      <c r="W51" s="29"/>
    </row>
    <row r="52" spans="2:23" ht="15" customHeight="1">
      <c r="B52" s="33"/>
      <c r="C52" s="530">
        <v>6</v>
      </c>
      <c r="D52" s="40" t="s">
        <v>167</v>
      </c>
      <c r="E52" s="26"/>
      <c r="F52" s="355" t="str">
        <f t="shared" si="16"/>
        <v/>
      </c>
      <c r="G52" s="693" t="str">
        <f ca="1">INDEX(INDIRECT("assessor"&amp;$C52),C45,G$22)</f>
        <v/>
      </c>
      <c r="H52" s="736" t="str">
        <f t="shared" ca="1" si="10"/>
        <v/>
      </c>
      <c r="I52" s="693" t="str">
        <f ca="1">INDEX(INDIRECT("assessor"&amp;$C52),C45,I$22)</f>
        <v/>
      </c>
      <c r="J52" s="736" t="str">
        <f t="shared" ca="1" si="11"/>
        <v/>
      </c>
      <c r="K52" s="693" t="str">
        <f ca="1">INDEX(INDIRECT("assessor"&amp;$C52),C45,K$22)</f>
        <v/>
      </c>
      <c r="L52" s="736" t="str">
        <f t="shared" ca="1" si="12"/>
        <v/>
      </c>
      <c r="M52" s="693" t="str">
        <f ca="1">INDEX(INDIRECT("assessor"&amp;$C52),C45,M$22)</f>
        <v/>
      </c>
      <c r="N52" s="736" t="str">
        <f t="shared" ca="1" si="13"/>
        <v/>
      </c>
      <c r="O52" s="693" t="str">
        <f ca="1">INDEX(INDIRECT("assessor"&amp;$C52),C45,O$22)</f>
        <v/>
      </c>
      <c r="P52" s="736" t="str">
        <f t="shared" ca="1" si="14"/>
        <v/>
      </c>
      <c r="Q52" s="693" t="str">
        <f ca="1">INDEX(INDIRECT("assessor"&amp;$C52),C45,Q$22)</f>
        <v/>
      </c>
      <c r="R52" s="736" t="str">
        <f t="shared" ca="1" si="15"/>
        <v/>
      </c>
      <c r="S52" s="31"/>
      <c r="T52" s="29"/>
      <c r="U52" s="29"/>
      <c r="V52" s="29"/>
      <c r="W52" s="29"/>
    </row>
    <row r="53" spans="2:23" ht="15" customHeight="1">
      <c r="B53" s="33"/>
      <c r="C53" s="530">
        <v>7</v>
      </c>
      <c r="D53" s="40" t="s">
        <v>168</v>
      </c>
      <c r="E53" s="26"/>
      <c r="F53" s="355" t="str">
        <f t="shared" si="16"/>
        <v/>
      </c>
      <c r="G53" s="693" t="str">
        <f ca="1">INDEX(INDIRECT("assessor"&amp;$C53),C45,G$22)</f>
        <v/>
      </c>
      <c r="H53" s="736" t="str">
        <f t="shared" ca="1" si="10"/>
        <v/>
      </c>
      <c r="I53" s="693" t="str">
        <f ca="1">INDEX(INDIRECT("assessor"&amp;$C53),C45,I$22)</f>
        <v/>
      </c>
      <c r="J53" s="736" t="str">
        <f t="shared" ca="1" si="11"/>
        <v/>
      </c>
      <c r="K53" s="693" t="str">
        <f ca="1">INDEX(INDIRECT("assessor"&amp;$C53),C45,K$22)</f>
        <v/>
      </c>
      <c r="L53" s="736" t="str">
        <f t="shared" ca="1" si="12"/>
        <v/>
      </c>
      <c r="M53" s="693" t="str">
        <f ca="1">INDEX(INDIRECT("assessor"&amp;$C53),C45,M$22)</f>
        <v/>
      </c>
      <c r="N53" s="736" t="str">
        <f t="shared" ca="1" si="13"/>
        <v/>
      </c>
      <c r="O53" s="693" t="str">
        <f ca="1">INDEX(INDIRECT("assessor"&amp;$C53),C45,O$22)</f>
        <v/>
      </c>
      <c r="P53" s="736" t="str">
        <f t="shared" ca="1" si="14"/>
        <v/>
      </c>
      <c r="Q53" s="693" t="str">
        <f ca="1">INDEX(INDIRECT("assessor"&amp;$C53),C45,Q$22)</f>
        <v/>
      </c>
      <c r="R53" s="736" t="str">
        <f t="shared" ca="1" si="15"/>
        <v/>
      </c>
      <c r="S53" s="31"/>
      <c r="T53" s="29"/>
      <c r="U53" s="29"/>
      <c r="V53" s="29"/>
      <c r="W53" s="29"/>
    </row>
    <row r="54" spans="2:23" ht="15" customHeight="1">
      <c r="B54" s="33"/>
      <c r="C54" s="530">
        <v>8</v>
      </c>
      <c r="D54" s="40" t="s">
        <v>169</v>
      </c>
      <c r="E54" s="26"/>
      <c r="F54" s="355" t="str">
        <f t="shared" si="16"/>
        <v/>
      </c>
      <c r="G54" s="693" t="str">
        <f ca="1">INDEX(INDIRECT("assessor"&amp;$C54),C45,G$22)</f>
        <v/>
      </c>
      <c r="H54" s="736" t="str">
        <f t="shared" ca="1" si="10"/>
        <v/>
      </c>
      <c r="I54" s="693" t="str">
        <f ca="1">INDEX(INDIRECT("assessor"&amp;$C54),C45,I$22)</f>
        <v/>
      </c>
      <c r="J54" s="736" t="str">
        <f t="shared" ca="1" si="11"/>
        <v/>
      </c>
      <c r="K54" s="693" t="str">
        <f ca="1">INDEX(INDIRECT("assessor"&amp;$C54),C45,K$22)</f>
        <v/>
      </c>
      <c r="L54" s="736" t="str">
        <f t="shared" ca="1" si="12"/>
        <v/>
      </c>
      <c r="M54" s="693" t="str">
        <f ca="1">INDEX(INDIRECT("assessor"&amp;$C54),C45,M$22)</f>
        <v/>
      </c>
      <c r="N54" s="736" t="str">
        <f t="shared" ca="1" si="13"/>
        <v/>
      </c>
      <c r="O54" s="693" t="str">
        <f ca="1">INDEX(INDIRECT("assessor"&amp;$C54),C45,O$22)</f>
        <v/>
      </c>
      <c r="P54" s="736" t="str">
        <f t="shared" ca="1" si="14"/>
        <v/>
      </c>
      <c r="Q54" s="693" t="str">
        <f ca="1">INDEX(INDIRECT("assessor"&amp;$C54),C45,Q$22)</f>
        <v/>
      </c>
      <c r="R54" s="736" t="str">
        <f t="shared" ca="1" si="15"/>
        <v/>
      </c>
      <c r="S54" s="31"/>
      <c r="T54" s="29"/>
      <c r="U54" s="29"/>
      <c r="V54" s="29"/>
      <c r="W54" s="29"/>
    </row>
    <row r="55" spans="2:23" ht="15" customHeight="1">
      <c r="B55" s="34"/>
      <c r="C55" s="531"/>
      <c r="D55" s="277"/>
      <c r="E55" s="277"/>
      <c r="F55" s="277"/>
      <c r="G55" s="364"/>
      <c r="H55" s="364"/>
      <c r="I55" s="364"/>
      <c r="J55" s="364"/>
      <c r="K55" s="364"/>
      <c r="L55" s="364"/>
      <c r="M55" s="364"/>
      <c r="N55" s="364"/>
      <c r="O55" s="364"/>
      <c r="P55" s="364"/>
      <c r="Q55" s="364"/>
      <c r="R55" s="364"/>
      <c r="S55" s="36"/>
      <c r="T55" s="29"/>
      <c r="U55" s="29"/>
      <c r="V55" s="29"/>
      <c r="W55" s="29"/>
    </row>
    <row r="56" spans="2:23" ht="15" customHeight="1">
      <c r="B56" s="353"/>
      <c r="C56" s="530">
        <v>2</v>
      </c>
      <c r="D56" s="532"/>
      <c r="E56" s="533"/>
      <c r="F56" s="533"/>
      <c r="G56" s="1104" t="s">
        <v>172</v>
      </c>
      <c r="H56" s="1104"/>
      <c r="I56" s="1104"/>
      <c r="J56" s="1104"/>
      <c r="K56" s="1104"/>
      <c r="L56" s="1104"/>
      <c r="M56" s="1104"/>
      <c r="N56" s="1104"/>
      <c r="O56" s="1104"/>
      <c r="P56" s="1104"/>
      <c r="Q56" s="1104"/>
      <c r="R56" s="1104"/>
      <c r="S56" s="354"/>
      <c r="T56" s="29"/>
      <c r="U56" s="29"/>
      <c r="V56" s="29"/>
      <c r="W56" s="29"/>
    </row>
    <row r="57" spans="2:23" ht="15" customHeight="1">
      <c r="B57" s="353"/>
      <c r="C57" s="530"/>
      <c r="D57" s="40" t="s">
        <v>198</v>
      </c>
      <c r="E57" s="97"/>
      <c r="F57" s="97"/>
      <c r="G57" s="368" t="str">
        <f t="shared" ref="G57:Q57" ca="1" si="17">IFERROR(AVERAGEIF(G58:G65,"&lt;&gt;"""),"")</f>
        <v/>
      </c>
      <c r="H57" s="735" t="str">
        <f t="shared" ref="H57:H65" ca="1" si="18">IF(G57=MAX($G57,$I57,$K57,$M57,$O57,$Q57),1,"")</f>
        <v/>
      </c>
      <c r="I57" s="368" t="str">
        <f t="shared" ca="1" si="17"/>
        <v/>
      </c>
      <c r="J57" s="735" t="str">
        <f t="shared" ref="J57:J65" ca="1" si="19">IF(I57=MAX($G57,$I57,$K57,$M57,$O57,$Q57),1,"")</f>
        <v/>
      </c>
      <c r="K57" s="368" t="str">
        <f t="shared" ca="1" si="17"/>
        <v/>
      </c>
      <c r="L57" s="735" t="str">
        <f t="shared" ref="L57:L65" ca="1" si="20">IF(K57=MAX($G57,$I57,$K57,$M57,$O57,$Q57),1,"")</f>
        <v/>
      </c>
      <c r="M57" s="368" t="str">
        <f t="shared" ca="1" si="17"/>
        <v/>
      </c>
      <c r="N57" s="735" t="str">
        <f t="shared" ref="N57:N65" ca="1" si="21">IF(M57=MAX($G57,$I57,$K57,$M57,$O57,$Q57),1,"")</f>
        <v/>
      </c>
      <c r="O57" s="368" t="str">
        <f t="shared" ca="1" si="17"/>
        <v/>
      </c>
      <c r="P57" s="735" t="str">
        <f t="shared" ref="P57:P65" ca="1" si="22">IF(O57=MAX($G57,$I57,$K57,$M57,$O57,$Q57),1,"")</f>
        <v/>
      </c>
      <c r="Q57" s="693" t="str">
        <f t="shared" ca="1" si="17"/>
        <v/>
      </c>
      <c r="R57" s="735" t="str">
        <f t="shared" ref="R57:R65" ca="1" si="23">IF(Q57=MAX($G57,$I57,$K57,$M57,$O57,$Q57),1,"")</f>
        <v/>
      </c>
      <c r="S57" s="354"/>
      <c r="T57" s="29"/>
      <c r="U57" s="29"/>
      <c r="V57" s="29"/>
      <c r="W57" s="29"/>
    </row>
    <row r="58" spans="2:23" ht="15" customHeight="1">
      <c r="B58" s="33"/>
      <c r="C58" s="530">
        <v>1</v>
      </c>
      <c r="D58" s="40" t="s">
        <v>162</v>
      </c>
      <c r="E58" s="29"/>
      <c r="F58" s="355" t="str">
        <f>F47</f>
        <v/>
      </c>
      <c r="G58" s="693" t="str">
        <f ca="1">INDEX(INDIRECT("assessor"&amp;$C58),C56,G$22)</f>
        <v/>
      </c>
      <c r="H58" s="736" t="str">
        <f t="shared" ca="1" si="18"/>
        <v/>
      </c>
      <c r="I58" s="693" t="str">
        <f ca="1">INDEX(INDIRECT("assessor"&amp;$C58),C56,I$22)</f>
        <v/>
      </c>
      <c r="J58" s="736" t="str">
        <f t="shared" ca="1" si="19"/>
        <v/>
      </c>
      <c r="K58" s="693" t="str">
        <f ca="1">INDEX(INDIRECT("assessor"&amp;$C58),C56,K$22)</f>
        <v/>
      </c>
      <c r="L58" s="736" t="str">
        <f t="shared" ca="1" si="20"/>
        <v/>
      </c>
      <c r="M58" s="693" t="str">
        <f ca="1">INDEX(INDIRECT("assessor"&amp;$C58),C56,M$22)</f>
        <v/>
      </c>
      <c r="N58" s="736" t="str">
        <f t="shared" ca="1" si="21"/>
        <v/>
      </c>
      <c r="O58" s="693" t="str">
        <f ca="1">INDEX(INDIRECT("assessor"&amp;$C58),C56,O$22)</f>
        <v/>
      </c>
      <c r="P58" s="736" t="str">
        <f t="shared" ca="1" si="22"/>
        <v/>
      </c>
      <c r="Q58" s="693" t="str">
        <f ca="1">INDEX(INDIRECT("assessor"&amp;$C58),C56,Q$22)</f>
        <v/>
      </c>
      <c r="R58" s="736" t="str">
        <f t="shared" ca="1" si="23"/>
        <v/>
      </c>
      <c r="S58" s="31"/>
      <c r="T58" s="29"/>
      <c r="U58" s="29"/>
      <c r="V58" s="29"/>
      <c r="W58" s="29"/>
    </row>
    <row r="59" spans="2:23" ht="15" customHeight="1">
      <c r="B59" s="33"/>
      <c r="C59" s="530">
        <v>2</v>
      </c>
      <c r="D59" s="40" t="s">
        <v>163</v>
      </c>
      <c r="E59" s="29"/>
      <c r="F59" s="355" t="str">
        <f t="shared" ref="F59:F65" si="24">F48</f>
        <v/>
      </c>
      <c r="G59" s="693" t="str">
        <f ca="1">INDEX(INDIRECT("assessor"&amp;$C59),C56,G$22)</f>
        <v/>
      </c>
      <c r="H59" s="736" t="str">
        <f t="shared" ca="1" si="18"/>
        <v/>
      </c>
      <c r="I59" s="693" t="str">
        <f ca="1">INDEX(INDIRECT("assessor"&amp;$C59),C56,I$22)</f>
        <v/>
      </c>
      <c r="J59" s="736" t="str">
        <f t="shared" ca="1" si="19"/>
        <v/>
      </c>
      <c r="K59" s="693" t="str">
        <f ca="1">INDEX(INDIRECT("assessor"&amp;$C59),C56,K$22)</f>
        <v/>
      </c>
      <c r="L59" s="736" t="str">
        <f t="shared" ca="1" si="20"/>
        <v/>
      </c>
      <c r="M59" s="693" t="str">
        <f ca="1">INDEX(INDIRECT("assessor"&amp;$C59),C56,M$22)</f>
        <v/>
      </c>
      <c r="N59" s="736" t="str">
        <f t="shared" ca="1" si="21"/>
        <v/>
      </c>
      <c r="O59" s="693" t="str">
        <f ca="1">INDEX(INDIRECT("assessor"&amp;$C59),C56,O$22)</f>
        <v/>
      </c>
      <c r="P59" s="736" t="str">
        <f t="shared" ca="1" si="22"/>
        <v/>
      </c>
      <c r="Q59" s="693" t="str">
        <f ca="1">INDEX(INDIRECT("assessor"&amp;$C59),C56,Q$22)</f>
        <v/>
      </c>
      <c r="R59" s="736" t="str">
        <f t="shared" ca="1" si="23"/>
        <v/>
      </c>
      <c r="S59" s="31"/>
      <c r="T59" s="29"/>
      <c r="U59" s="29"/>
      <c r="V59" s="29"/>
      <c r="W59" s="29"/>
    </row>
    <row r="60" spans="2:23" ht="15" customHeight="1">
      <c r="B60" s="33"/>
      <c r="C60" s="530">
        <v>3</v>
      </c>
      <c r="D60" s="40" t="s">
        <v>164</v>
      </c>
      <c r="E60" s="26"/>
      <c r="F60" s="355" t="str">
        <f t="shared" si="24"/>
        <v/>
      </c>
      <c r="G60" s="693" t="str">
        <f ca="1">INDEX(INDIRECT("assessor"&amp;$C60),C56,G$22)</f>
        <v/>
      </c>
      <c r="H60" s="736" t="str">
        <f t="shared" ca="1" si="18"/>
        <v/>
      </c>
      <c r="I60" s="693" t="str">
        <f ca="1">INDEX(INDIRECT("assessor"&amp;$C60),C56,I$22)</f>
        <v/>
      </c>
      <c r="J60" s="736" t="str">
        <f t="shared" ca="1" si="19"/>
        <v/>
      </c>
      <c r="K60" s="693" t="str">
        <f ca="1">INDEX(INDIRECT("assessor"&amp;$C60),C56,K$22)</f>
        <v/>
      </c>
      <c r="L60" s="736" t="str">
        <f t="shared" ca="1" si="20"/>
        <v/>
      </c>
      <c r="M60" s="693" t="str">
        <f ca="1">INDEX(INDIRECT("assessor"&amp;$C60),C56,M$22)</f>
        <v/>
      </c>
      <c r="N60" s="736" t="str">
        <f t="shared" ca="1" si="21"/>
        <v/>
      </c>
      <c r="O60" s="693" t="str">
        <f ca="1">INDEX(INDIRECT("assessor"&amp;$C60),C56,O$22)</f>
        <v/>
      </c>
      <c r="P60" s="736" t="str">
        <f t="shared" ca="1" si="22"/>
        <v/>
      </c>
      <c r="Q60" s="693" t="str">
        <f ca="1">INDEX(INDIRECT("assessor"&amp;$C60),C56,Q$22)</f>
        <v/>
      </c>
      <c r="R60" s="736" t="str">
        <f t="shared" ca="1" si="23"/>
        <v/>
      </c>
      <c r="S60" s="31"/>
      <c r="T60" s="29"/>
      <c r="U60" s="29"/>
      <c r="V60" s="29"/>
      <c r="W60" s="29"/>
    </row>
    <row r="61" spans="2:23" ht="15" customHeight="1">
      <c r="B61" s="33"/>
      <c r="C61" s="530">
        <v>4</v>
      </c>
      <c r="D61" s="40" t="s">
        <v>165</v>
      </c>
      <c r="E61" s="26"/>
      <c r="F61" s="355" t="str">
        <f t="shared" si="24"/>
        <v/>
      </c>
      <c r="G61" s="693" t="str">
        <f ca="1">INDEX(INDIRECT("assessor"&amp;$C61),C56,G$22)</f>
        <v/>
      </c>
      <c r="H61" s="736" t="str">
        <f t="shared" ca="1" si="18"/>
        <v/>
      </c>
      <c r="I61" s="693" t="str">
        <f ca="1">INDEX(INDIRECT("assessor"&amp;$C61),C56,I$22)</f>
        <v/>
      </c>
      <c r="J61" s="736" t="str">
        <f t="shared" ca="1" si="19"/>
        <v/>
      </c>
      <c r="K61" s="693" t="str">
        <f ca="1">INDEX(INDIRECT("assessor"&amp;$C61),C56,K$22)</f>
        <v/>
      </c>
      <c r="L61" s="736" t="str">
        <f t="shared" ca="1" si="20"/>
        <v/>
      </c>
      <c r="M61" s="693" t="str">
        <f ca="1">INDEX(INDIRECT("assessor"&amp;$C61),C56,M$22)</f>
        <v/>
      </c>
      <c r="N61" s="736" t="str">
        <f t="shared" ca="1" si="21"/>
        <v/>
      </c>
      <c r="O61" s="693" t="str">
        <f ca="1">INDEX(INDIRECT("assessor"&amp;$C61),C56,O$22)</f>
        <v/>
      </c>
      <c r="P61" s="736" t="str">
        <f t="shared" ca="1" si="22"/>
        <v/>
      </c>
      <c r="Q61" s="693" t="str">
        <f ca="1">INDEX(INDIRECT("assessor"&amp;$C61),C56,Q$22)</f>
        <v/>
      </c>
      <c r="R61" s="736" t="str">
        <f t="shared" ca="1" si="23"/>
        <v/>
      </c>
      <c r="S61" s="31"/>
      <c r="T61" s="29"/>
      <c r="U61" s="29"/>
      <c r="V61" s="29"/>
      <c r="W61" s="29"/>
    </row>
    <row r="62" spans="2:23" ht="15" customHeight="1">
      <c r="B62" s="33"/>
      <c r="C62" s="530">
        <v>5</v>
      </c>
      <c r="D62" s="40" t="s">
        <v>166</v>
      </c>
      <c r="E62" s="26"/>
      <c r="F62" s="355" t="str">
        <f t="shared" si="24"/>
        <v/>
      </c>
      <c r="G62" s="693" t="str">
        <f ca="1">INDEX(INDIRECT("assessor"&amp;$C62),C56,G$22)</f>
        <v/>
      </c>
      <c r="H62" s="736" t="str">
        <f t="shared" ca="1" si="18"/>
        <v/>
      </c>
      <c r="I62" s="693" t="str">
        <f ca="1">INDEX(INDIRECT("assessor"&amp;$C62),C56,I$22)</f>
        <v/>
      </c>
      <c r="J62" s="736" t="str">
        <f t="shared" ca="1" si="19"/>
        <v/>
      </c>
      <c r="K62" s="693" t="str">
        <f ca="1">INDEX(INDIRECT("assessor"&amp;$C62),C56,K$22)</f>
        <v/>
      </c>
      <c r="L62" s="736" t="str">
        <f t="shared" ca="1" si="20"/>
        <v/>
      </c>
      <c r="M62" s="693" t="str">
        <f ca="1">INDEX(INDIRECT("assessor"&amp;$C62),C56,M$22)</f>
        <v/>
      </c>
      <c r="N62" s="736" t="str">
        <f t="shared" ca="1" si="21"/>
        <v/>
      </c>
      <c r="O62" s="693" t="str">
        <f ca="1">INDEX(INDIRECT("assessor"&amp;$C62),C56,O$22)</f>
        <v/>
      </c>
      <c r="P62" s="736" t="str">
        <f t="shared" ca="1" si="22"/>
        <v/>
      </c>
      <c r="Q62" s="693" t="str">
        <f ca="1">INDEX(INDIRECT("assessor"&amp;$C62),C56,Q$22)</f>
        <v/>
      </c>
      <c r="R62" s="736" t="str">
        <f t="shared" ca="1" si="23"/>
        <v/>
      </c>
      <c r="S62" s="31"/>
      <c r="T62" s="29"/>
      <c r="U62" s="29"/>
      <c r="V62" s="29"/>
      <c r="W62" s="29"/>
    </row>
    <row r="63" spans="2:23" ht="15" customHeight="1">
      <c r="B63" s="33"/>
      <c r="C63" s="530">
        <v>6</v>
      </c>
      <c r="D63" s="40" t="s">
        <v>167</v>
      </c>
      <c r="E63" s="26"/>
      <c r="F63" s="355" t="str">
        <f t="shared" si="24"/>
        <v/>
      </c>
      <c r="G63" s="693" t="str">
        <f ca="1">INDEX(INDIRECT("assessor"&amp;$C63),C56,G$22)</f>
        <v/>
      </c>
      <c r="H63" s="736" t="str">
        <f t="shared" ca="1" si="18"/>
        <v/>
      </c>
      <c r="I63" s="693" t="str">
        <f ca="1">INDEX(INDIRECT("assessor"&amp;$C63),C56,I$22)</f>
        <v/>
      </c>
      <c r="J63" s="736" t="str">
        <f t="shared" ca="1" si="19"/>
        <v/>
      </c>
      <c r="K63" s="693" t="str">
        <f ca="1">INDEX(INDIRECT("assessor"&amp;$C63),C56,K$22)</f>
        <v/>
      </c>
      <c r="L63" s="736" t="str">
        <f t="shared" ca="1" si="20"/>
        <v/>
      </c>
      <c r="M63" s="693" t="str">
        <f ca="1">INDEX(INDIRECT("assessor"&amp;$C63),C56,M$22)</f>
        <v/>
      </c>
      <c r="N63" s="736" t="str">
        <f t="shared" ca="1" si="21"/>
        <v/>
      </c>
      <c r="O63" s="693" t="str">
        <f ca="1">INDEX(INDIRECT("assessor"&amp;$C63),C56,O$22)</f>
        <v/>
      </c>
      <c r="P63" s="736" t="str">
        <f t="shared" ca="1" si="22"/>
        <v/>
      </c>
      <c r="Q63" s="693" t="str">
        <f ca="1">INDEX(INDIRECT("assessor"&amp;$C63),C56,Q$22)</f>
        <v/>
      </c>
      <c r="R63" s="736" t="str">
        <f t="shared" ca="1" si="23"/>
        <v/>
      </c>
      <c r="S63" s="31"/>
      <c r="T63" s="29"/>
      <c r="U63" s="29"/>
      <c r="V63" s="29"/>
      <c r="W63" s="29"/>
    </row>
    <row r="64" spans="2:23" ht="15" customHeight="1">
      <c r="B64" s="33"/>
      <c r="C64" s="530">
        <v>7</v>
      </c>
      <c r="D64" s="40" t="s">
        <v>168</v>
      </c>
      <c r="E64" s="26"/>
      <c r="F64" s="355" t="str">
        <f t="shared" si="24"/>
        <v/>
      </c>
      <c r="G64" s="693" t="str">
        <f ca="1">INDEX(INDIRECT("assessor"&amp;$C64),C56,G$22)</f>
        <v/>
      </c>
      <c r="H64" s="736" t="str">
        <f t="shared" ca="1" si="18"/>
        <v/>
      </c>
      <c r="I64" s="693" t="str">
        <f ca="1">INDEX(INDIRECT("assessor"&amp;$C64),C56,I$22)</f>
        <v/>
      </c>
      <c r="J64" s="736" t="str">
        <f t="shared" ca="1" si="19"/>
        <v/>
      </c>
      <c r="K64" s="693" t="str">
        <f ca="1">INDEX(INDIRECT("assessor"&amp;$C64),C56,K$22)</f>
        <v/>
      </c>
      <c r="L64" s="736" t="str">
        <f t="shared" ca="1" si="20"/>
        <v/>
      </c>
      <c r="M64" s="693" t="str">
        <f ca="1">INDEX(INDIRECT("assessor"&amp;$C64),C56,M$22)</f>
        <v/>
      </c>
      <c r="N64" s="736" t="str">
        <f t="shared" ca="1" si="21"/>
        <v/>
      </c>
      <c r="O64" s="693" t="str">
        <f ca="1">INDEX(INDIRECT("assessor"&amp;$C64),C56,O$22)</f>
        <v/>
      </c>
      <c r="P64" s="736" t="str">
        <f t="shared" ca="1" si="22"/>
        <v/>
      </c>
      <c r="Q64" s="693" t="str">
        <f ca="1">INDEX(INDIRECT("assessor"&amp;$C64),C56,Q$22)</f>
        <v/>
      </c>
      <c r="R64" s="736" t="str">
        <f t="shared" ca="1" si="23"/>
        <v/>
      </c>
      <c r="S64" s="31"/>
      <c r="T64" s="29"/>
      <c r="U64" s="29"/>
      <c r="V64" s="29"/>
      <c r="W64" s="29"/>
    </row>
    <row r="65" spans="2:23" ht="15" customHeight="1">
      <c r="B65" s="33"/>
      <c r="C65" s="530">
        <v>8</v>
      </c>
      <c r="D65" s="40" t="s">
        <v>169</v>
      </c>
      <c r="E65" s="26"/>
      <c r="F65" s="355" t="str">
        <f t="shared" si="24"/>
        <v/>
      </c>
      <c r="G65" s="693" t="str">
        <f ca="1">INDEX(INDIRECT("assessor"&amp;$C65),C56,G$22)</f>
        <v/>
      </c>
      <c r="H65" s="736" t="str">
        <f t="shared" ca="1" si="18"/>
        <v/>
      </c>
      <c r="I65" s="693" t="str">
        <f ca="1">INDEX(INDIRECT("assessor"&amp;$C65),C56,I$22)</f>
        <v/>
      </c>
      <c r="J65" s="736" t="str">
        <f t="shared" ca="1" si="19"/>
        <v/>
      </c>
      <c r="K65" s="693" t="str">
        <f ca="1">INDEX(INDIRECT("assessor"&amp;$C65),C56,K$22)</f>
        <v/>
      </c>
      <c r="L65" s="736" t="str">
        <f t="shared" ca="1" si="20"/>
        <v/>
      </c>
      <c r="M65" s="693" t="str">
        <f ca="1">INDEX(INDIRECT("assessor"&amp;$C65),C56,M$22)</f>
        <v/>
      </c>
      <c r="N65" s="736" t="str">
        <f t="shared" ca="1" si="21"/>
        <v/>
      </c>
      <c r="O65" s="693" t="str">
        <f ca="1">INDEX(INDIRECT("assessor"&amp;$C65),C56,O$22)</f>
        <v/>
      </c>
      <c r="P65" s="736" t="str">
        <f t="shared" ca="1" si="22"/>
        <v/>
      </c>
      <c r="Q65" s="693" t="str">
        <f ca="1">INDEX(INDIRECT("assessor"&amp;$C65),C56,Q$22)</f>
        <v/>
      </c>
      <c r="R65" s="736" t="str">
        <f t="shared" ca="1" si="23"/>
        <v/>
      </c>
      <c r="S65" s="31"/>
      <c r="T65" s="29"/>
      <c r="U65" s="29"/>
      <c r="V65" s="29"/>
      <c r="W65" s="29"/>
    </row>
    <row r="66" spans="2:23" ht="15" customHeight="1">
      <c r="B66" s="34"/>
      <c r="C66" s="531"/>
      <c r="D66" s="277"/>
      <c r="E66" s="277"/>
      <c r="F66" s="277"/>
      <c r="G66" s="364"/>
      <c r="H66" s="364"/>
      <c r="I66" s="364"/>
      <c r="J66" s="364"/>
      <c r="K66" s="364"/>
      <c r="L66" s="364"/>
      <c r="M66" s="364"/>
      <c r="N66" s="364"/>
      <c r="O66" s="364"/>
      <c r="P66" s="364"/>
      <c r="Q66" s="364"/>
      <c r="R66" s="364"/>
      <c r="S66" s="36"/>
      <c r="T66" s="29"/>
      <c r="U66" s="29"/>
      <c r="V66" s="29"/>
      <c r="W66" s="29"/>
    </row>
    <row r="67" spans="2:23" ht="15" customHeight="1">
      <c r="B67" s="353"/>
      <c r="C67" s="530">
        <v>3</v>
      </c>
      <c r="D67" s="532"/>
      <c r="E67" s="533"/>
      <c r="F67" s="533"/>
      <c r="G67" s="1104" t="s">
        <v>173</v>
      </c>
      <c r="H67" s="1104"/>
      <c r="I67" s="1104"/>
      <c r="J67" s="1104"/>
      <c r="K67" s="1104"/>
      <c r="L67" s="1104"/>
      <c r="M67" s="1104"/>
      <c r="N67" s="1104"/>
      <c r="O67" s="1104"/>
      <c r="P67" s="1104"/>
      <c r="Q67" s="1104"/>
      <c r="R67" s="1104"/>
      <c r="S67" s="354"/>
      <c r="T67" s="29"/>
      <c r="U67" s="29"/>
      <c r="V67" s="29"/>
      <c r="W67" s="29"/>
    </row>
    <row r="68" spans="2:23" ht="15" customHeight="1">
      <c r="B68" s="353"/>
      <c r="C68" s="530"/>
      <c r="D68" s="40" t="s">
        <v>198</v>
      </c>
      <c r="E68" s="97"/>
      <c r="F68" s="97"/>
      <c r="G68" s="368" t="str">
        <f t="shared" ref="G68:Q68" ca="1" si="25">IFERROR(AVERAGEIF(G69:G76,"&lt;&gt;"""),"")</f>
        <v/>
      </c>
      <c r="H68" s="735" t="str">
        <f t="shared" ref="H68:H76" ca="1" si="26">IF(G68=MAX($G68,$I68,$K68,$M68,$O68,$Q68),1,"")</f>
        <v/>
      </c>
      <c r="I68" s="368" t="str">
        <f t="shared" ca="1" si="25"/>
        <v/>
      </c>
      <c r="J68" s="735" t="str">
        <f t="shared" ref="J68:J76" ca="1" si="27">IF(I68=MAX($G68,$I68,$K68,$M68,$O68,$Q68),1,"")</f>
        <v/>
      </c>
      <c r="K68" s="368" t="str">
        <f t="shared" ca="1" si="25"/>
        <v/>
      </c>
      <c r="L68" s="735" t="str">
        <f t="shared" ref="L68:L76" ca="1" si="28">IF(K68=MAX($G68,$I68,$K68,$M68,$O68,$Q68),1,"")</f>
        <v/>
      </c>
      <c r="M68" s="368" t="str">
        <f t="shared" ca="1" si="25"/>
        <v/>
      </c>
      <c r="N68" s="735" t="str">
        <f t="shared" ref="N68:N76" ca="1" si="29">IF(M68=MAX($G68,$I68,$K68,$M68,$O68,$Q68),1,"")</f>
        <v/>
      </c>
      <c r="O68" s="368" t="str">
        <f t="shared" ca="1" si="25"/>
        <v/>
      </c>
      <c r="P68" s="735" t="str">
        <f t="shared" ref="P68:P76" ca="1" si="30">IF(O68=MAX($G68,$I68,$K68,$M68,$O68,$Q68),1,"")</f>
        <v/>
      </c>
      <c r="Q68" s="693" t="str">
        <f t="shared" ca="1" si="25"/>
        <v/>
      </c>
      <c r="R68" s="735" t="str">
        <f t="shared" ref="R68:R76" ca="1" si="31">IF(Q68=MAX($G68,$I68,$K68,$M68,$O68,$Q68),1,"")</f>
        <v/>
      </c>
      <c r="S68" s="354"/>
      <c r="T68" s="29"/>
      <c r="U68" s="29"/>
      <c r="V68" s="29"/>
      <c r="W68" s="29"/>
    </row>
    <row r="69" spans="2:23" ht="15" customHeight="1">
      <c r="B69" s="33"/>
      <c r="C69" s="530">
        <v>1</v>
      </c>
      <c r="D69" s="40" t="s">
        <v>162</v>
      </c>
      <c r="E69" s="29"/>
      <c r="F69" s="355" t="str">
        <f>F58</f>
        <v/>
      </c>
      <c r="G69" s="693" t="str">
        <f ca="1">INDEX(INDIRECT("assessor"&amp;$C69),C67,G$22)</f>
        <v/>
      </c>
      <c r="H69" s="736" t="str">
        <f t="shared" ca="1" si="26"/>
        <v/>
      </c>
      <c r="I69" s="693" t="str">
        <f ca="1">INDEX(INDIRECT("assessor"&amp;$C69),C67,I$22)</f>
        <v/>
      </c>
      <c r="J69" s="736" t="str">
        <f t="shared" ca="1" si="27"/>
        <v/>
      </c>
      <c r="K69" s="693" t="str">
        <f ca="1">INDEX(INDIRECT("assessor"&amp;$C69),C67,K$22)</f>
        <v/>
      </c>
      <c r="L69" s="736" t="str">
        <f t="shared" ca="1" si="28"/>
        <v/>
      </c>
      <c r="M69" s="693" t="str">
        <f ca="1">INDEX(INDIRECT("assessor"&amp;$C69),C67,M$22)</f>
        <v/>
      </c>
      <c r="N69" s="736" t="str">
        <f t="shared" ca="1" si="29"/>
        <v/>
      </c>
      <c r="O69" s="693" t="str">
        <f ca="1">INDEX(INDIRECT("assessor"&amp;$C69),C67,O$22)</f>
        <v/>
      </c>
      <c r="P69" s="736" t="str">
        <f t="shared" ca="1" si="30"/>
        <v/>
      </c>
      <c r="Q69" s="693" t="str">
        <f ca="1">INDEX(INDIRECT("assessor"&amp;$C69),C67,Q$22)</f>
        <v/>
      </c>
      <c r="R69" s="736" t="str">
        <f t="shared" ca="1" si="31"/>
        <v/>
      </c>
      <c r="S69" s="31"/>
      <c r="T69" s="29"/>
      <c r="U69" s="29"/>
      <c r="V69" s="29"/>
      <c r="W69" s="29"/>
    </row>
    <row r="70" spans="2:23" ht="15" customHeight="1">
      <c r="B70" s="33"/>
      <c r="C70" s="530">
        <v>2</v>
      </c>
      <c r="D70" s="40" t="s">
        <v>163</v>
      </c>
      <c r="E70" s="29"/>
      <c r="F70" s="355" t="str">
        <f t="shared" ref="F70:F76" si="32">F59</f>
        <v/>
      </c>
      <c r="G70" s="693" t="str">
        <f ca="1">INDEX(INDIRECT("assessor"&amp;$C70),C67,G$22)</f>
        <v/>
      </c>
      <c r="H70" s="736" t="str">
        <f t="shared" ca="1" si="26"/>
        <v/>
      </c>
      <c r="I70" s="693" t="str">
        <f ca="1">INDEX(INDIRECT("assessor"&amp;$C70),C67,I$22)</f>
        <v/>
      </c>
      <c r="J70" s="736" t="str">
        <f t="shared" ca="1" si="27"/>
        <v/>
      </c>
      <c r="K70" s="693" t="str">
        <f ca="1">INDEX(INDIRECT("assessor"&amp;$C70),C67,K$22)</f>
        <v/>
      </c>
      <c r="L70" s="736" t="str">
        <f t="shared" ca="1" si="28"/>
        <v/>
      </c>
      <c r="M70" s="693" t="str">
        <f ca="1">INDEX(INDIRECT("assessor"&amp;$C70),C67,M$22)</f>
        <v/>
      </c>
      <c r="N70" s="736" t="str">
        <f t="shared" ca="1" si="29"/>
        <v/>
      </c>
      <c r="O70" s="693" t="str">
        <f ca="1">INDEX(INDIRECT("assessor"&amp;$C70),C67,O$22)</f>
        <v/>
      </c>
      <c r="P70" s="736" t="str">
        <f t="shared" ca="1" si="30"/>
        <v/>
      </c>
      <c r="Q70" s="693" t="str">
        <f ca="1">INDEX(INDIRECT("assessor"&amp;$C70),C67,Q$22)</f>
        <v/>
      </c>
      <c r="R70" s="736" t="str">
        <f t="shared" ca="1" si="31"/>
        <v/>
      </c>
      <c r="S70" s="31"/>
      <c r="T70" s="29"/>
      <c r="U70" s="29"/>
      <c r="V70" s="29"/>
      <c r="W70" s="29"/>
    </row>
    <row r="71" spans="2:23" ht="15" customHeight="1">
      <c r="B71" s="33"/>
      <c r="C71" s="530">
        <v>3</v>
      </c>
      <c r="D71" s="40" t="s">
        <v>164</v>
      </c>
      <c r="E71" s="29"/>
      <c r="F71" s="355" t="str">
        <f t="shared" si="32"/>
        <v/>
      </c>
      <c r="G71" s="693" t="str">
        <f ca="1">INDEX(INDIRECT("assessor"&amp;$C71),C67,G$22)</f>
        <v/>
      </c>
      <c r="H71" s="736" t="str">
        <f t="shared" ca="1" si="26"/>
        <v/>
      </c>
      <c r="I71" s="693" t="str">
        <f ca="1">INDEX(INDIRECT("assessor"&amp;$C71),C67,I$22)</f>
        <v/>
      </c>
      <c r="J71" s="736" t="str">
        <f t="shared" ca="1" si="27"/>
        <v/>
      </c>
      <c r="K71" s="693" t="str">
        <f ca="1">INDEX(INDIRECT("assessor"&amp;$C71),C67,K$22)</f>
        <v/>
      </c>
      <c r="L71" s="736" t="str">
        <f t="shared" ca="1" si="28"/>
        <v/>
      </c>
      <c r="M71" s="693" t="str">
        <f ca="1">INDEX(INDIRECT("assessor"&amp;$C71),C67,M$22)</f>
        <v/>
      </c>
      <c r="N71" s="736" t="str">
        <f t="shared" ca="1" si="29"/>
        <v/>
      </c>
      <c r="O71" s="693" t="str">
        <f ca="1">INDEX(INDIRECT("assessor"&amp;$C71),C67,O$22)</f>
        <v/>
      </c>
      <c r="P71" s="736" t="str">
        <f t="shared" ca="1" si="30"/>
        <v/>
      </c>
      <c r="Q71" s="693" t="str">
        <f ca="1">INDEX(INDIRECT("assessor"&amp;$C71),C67,Q$22)</f>
        <v/>
      </c>
      <c r="R71" s="736" t="str">
        <f t="shared" ca="1" si="31"/>
        <v/>
      </c>
      <c r="S71" s="31"/>
      <c r="T71" s="29"/>
      <c r="U71" s="29"/>
      <c r="V71" s="29"/>
      <c r="W71" s="29"/>
    </row>
    <row r="72" spans="2:23" ht="15" customHeight="1">
      <c r="B72" s="33"/>
      <c r="C72" s="530">
        <v>4</v>
      </c>
      <c r="D72" s="40" t="s">
        <v>165</v>
      </c>
      <c r="E72" s="29"/>
      <c r="F72" s="355" t="str">
        <f t="shared" si="32"/>
        <v/>
      </c>
      <c r="G72" s="693" t="str">
        <f ca="1">INDEX(INDIRECT("assessor"&amp;$C72),C67,G$22)</f>
        <v/>
      </c>
      <c r="H72" s="736" t="str">
        <f t="shared" ca="1" si="26"/>
        <v/>
      </c>
      <c r="I72" s="693" t="str">
        <f ca="1">INDEX(INDIRECT("assessor"&amp;$C72),C67,I$22)</f>
        <v/>
      </c>
      <c r="J72" s="736" t="str">
        <f t="shared" ca="1" si="27"/>
        <v/>
      </c>
      <c r="K72" s="693" t="str">
        <f ca="1">INDEX(INDIRECT("assessor"&amp;$C72),C67,K$22)</f>
        <v/>
      </c>
      <c r="L72" s="736" t="str">
        <f t="shared" ca="1" si="28"/>
        <v/>
      </c>
      <c r="M72" s="693" t="str">
        <f ca="1">INDEX(INDIRECT("assessor"&amp;$C72),C67,M$22)</f>
        <v/>
      </c>
      <c r="N72" s="736" t="str">
        <f t="shared" ca="1" si="29"/>
        <v/>
      </c>
      <c r="O72" s="693" t="str">
        <f ca="1">INDEX(INDIRECT("assessor"&amp;$C72),C67,O$22)</f>
        <v/>
      </c>
      <c r="P72" s="736" t="str">
        <f t="shared" ca="1" si="30"/>
        <v/>
      </c>
      <c r="Q72" s="693" t="str">
        <f ca="1">INDEX(INDIRECT("assessor"&amp;$C72),C67,Q$22)</f>
        <v/>
      </c>
      <c r="R72" s="736" t="str">
        <f t="shared" ca="1" si="31"/>
        <v/>
      </c>
      <c r="S72" s="31"/>
      <c r="T72" s="29"/>
      <c r="U72" s="29"/>
      <c r="V72" s="29"/>
      <c r="W72" s="29"/>
    </row>
    <row r="73" spans="2:23" ht="15" customHeight="1">
      <c r="B73" s="33"/>
      <c r="C73" s="530">
        <v>5</v>
      </c>
      <c r="D73" s="40" t="s">
        <v>166</v>
      </c>
      <c r="E73" s="26"/>
      <c r="F73" s="355" t="str">
        <f t="shared" si="32"/>
        <v/>
      </c>
      <c r="G73" s="693" t="str">
        <f ca="1">INDEX(INDIRECT("assessor"&amp;$C73),C67,G$22)</f>
        <v/>
      </c>
      <c r="H73" s="736" t="str">
        <f t="shared" ca="1" si="26"/>
        <v/>
      </c>
      <c r="I73" s="693" t="str">
        <f ca="1">INDEX(INDIRECT("assessor"&amp;$C73),C67,I$22)</f>
        <v/>
      </c>
      <c r="J73" s="736" t="str">
        <f t="shared" ca="1" si="27"/>
        <v/>
      </c>
      <c r="K73" s="693" t="str">
        <f ca="1">INDEX(INDIRECT("assessor"&amp;$C73),C67,K$22)</f>
        <v/>
      </c>
      <c r="L73" s="736" t="str">
        <f t="shared" ca="1" si="28"/>
        <v/>
      </c>
      <c r="M73" s="693" t="str">
        <f ca="1">INDEX(INDIRECT("assessor"&amp;$C73),C67,M$22)</f>
        <v/>
      </c>
      <c r="N73" s="736" t="str">
        <f t="shared" ca="1" si="29"/>
        <v/>
      </c>
      <c r="O73" s="693" t="str">
        <f ca="1">INDEX(INDIRECT("assessor"&amp;$C73),C67,O$22)</f>
        <v/>
      </c>
      <c r="P73" s="736" t="str">
        <f t="shared" ca="1" si="30"/>
        <v/>
      </c>
      <c r="Q73" s="693" t="str">
        <f ca="1">INDEX(INDIRECT("assessor"&amp;$C73),C67,Q$22)</f>
        <v/>
      </c>
      <c r="R73" s="736" t="str">
        <f t="shared" ca="1" si="31"/>
        <v/>
      </c>
      <c r="S73" s="31"/>
      <c r="T73" s="29"/>
      <c r="U73" s="29"/>
      <c r="V73" s="29"/>
      <c r="W73" s="29"/>
    </row>
    <row r="74" spans="2:23" ht="15" customHeight="1">
      <c r="B74" s="33"/>
      <c r="C74" s="530">
        <v>6</v>
      </c>
      <c r="D74" s="40" t="s">
        <v>167</v>
      </c>
      <c r="E74" s="26"/>
      <c r="F74" s="355" t="str">
        <f t="shared" si="32"/>
        <v/>
      </c>
      <c r="G74" s="693" t="str">
        <f ca="1">INDEX(INDIRECT("assessor"&amp;$C74),C67,G$22)</f>
        <v/>
      </c>
      <c r="H74" s="736" t="str">
        <f t="shared" ca="1" si="26"/>
        <v/>
      </c>
      <c r="I74" s="693" t="str">
        <f ca="1">INDEX(INDIRECT("assessor"&amp;$C74),C67,I$22)</f>
        <v/>
      </c>
      <c r="J74" s="736" t="str">
        <f t="shared" ca="1" si="27"/>
        <v/>
      </c>
      <c r="K74" s="693" t="str">
        <f ca="1">INDEX(INDIRECT("assessor"&amp;$C74),C67,K$22)</f>
        <v/>
      </c>
      <c r="L74" s="736" t="str">
        <f t="shared" ca="1" si="28"/>
        <v/>
      </c>
      <c r="M74" s="693" t="str">
        <f ca="1">INDEX(INDIRECT("assessor"&amp;$C74),C67,M$22)</f>
        <v/>
      </c>
      <c r="N74" s="736" t="str">
        <f t="shared" ca="1" si="29"/>
        <v/>
      </c>
      <c r="O74" s="693" t="str">
        <f ca="1">INDEX(INDIRECT("assessor"&amp;$C74),C67,O$22)</f>
        <v/>
      </c>
      <c r="P74" s="736" t="str">
        <f t="shared" ca="1" si="30"/>
        <v/>
      </c>
      <c r="Q74" s="693" t="str">
        <f ca="1">INDEX(INDIRECT("assessor"&amp;$C74),C67,Q$22)</f>
        <v/>
      </c>
      <c r="R74" s="736" t="str">
        <f t="shared" ca="1" si="31"/>
        <v/>
      </c>
      <c r="S74" s="31"/>
      <c r="T74" s="29"/>
      <c r="U74" s="29"/>
      <c r="V74" s="29"/>
      <c r="W74" s="29"/>
    </row>
    <row r="75" spans="2:23" ht="15" customHeight="1">
      <c r="B75" s="33"/>
      <c r="C75" s="530">
        <v>7</v>
      </c>
      <c r="D75" s="40" t="s">
        <v>168</v>
      </c>
      <c r="E75" s="26"/>
      <c r="F75" s="355" t="str">
        <f t="shared" si="32"/>
        <v/>
      </c>
      <c r="G75" s="693" t="str">
        <f ca="1">INDEX(INDIRECT("assessor"&amp;$C75),C67,G$22)</f>
        <v/>
      </c>
      <c r="H75" s="736" t="str">
        <f t="shared" ca="1" si="26"/>
        <v/>
      </c>
      <c r="I75" s="693" t="str">
        <f ca="1">INDEX(INDIRECT("assessor"&amp;$C75),C67,I$22)</f>
        <v/>
      </c>
      <c r="J75" s="736" t="str">
        <f t="shared" ca="1" si="27"/>
        <v/>
      </c>
      <c r="K75" s="693" t="str">
        <f ca="1">INDEX(INDIRECT("assessor"&amp;$C75),C67,K$22)</f>
        <v/>
      </c>
      <c r="L75" s="736" t="str">
        <f t="shared" ca="1" si="28"/>
        <v/>
      </c>
      <c r="M75" s="693" t="str">
        <f ca="1">INDEX(INDIRECT("assessor"&amp;$C75),C67,M$22)</f>
        <v/>
      </c>
      <c r="N75" s="736" t="str">
        <f t="shared" ca="1" si="29"/>
        <v/>
      </c>
      <c r="O75" s="693" t="str">
        <f ca="1">INDEX(INDIRECT("assessor"&amp;$C75),C67,O$22)</f>
        <v/>
      </c>
      <c r="P75" s="736" t="str">
        <f t="shared" ca="1" si="30"/>
        <v/>
      </c>
      <c r="Q75" s="693" t="str">
        <f ca="1">INDEX(INDIRECT("assessor"&amp;$C75),C67,Q$22)</f>
        <v/>
      </c>
      <c r="R75" s="736" t="str">
        <f t="shared" ca="1" si="31"/>
        <v/>
      </c>
      <c r="S75" s="31"/>
      <c r="T75" s="29"/>
      <c r="U75" s="29"/>
      <c r="V75" s="29"/>
      <c r="W75" s="29"/>
    </row>
    <row r="76" spans="2:23" ht="15" customHeight="1">
      <c r="B76" s="33"/>
      <c r="C76" s="530">
        <v>8</v>
      </c>
      <c r="D76" s="40" t="s">
        <v>169</v>
      </c>
      <c r="E76" s="26"/>
      <c r="F76" s="355" t="str">
        <f t="shared" si="32"/>
        <v/>
      </c>
      <c r="G76" s="693" t="str">
        <f ca="1">INDEX(INDIRECT("assessor"&amp;$C76),C67,G$22)</f>
        <v/>
      </c>
      <c r="H76" s="736" t="str">
        <f t="shared" ca="1" si="26"/>
        <v/>
      </c>
      <c r="I76" s="693" t="str">
        <f ca="1">INDEX(INDIRECT("assessor"&amp;$C76),C67,I$22)</f>
        <v/>
      </c>
      <c r="J76" s="736" t="str">
        <f t="shared" ca="1" si="27"/>
        <v/>
      </c>
      <c r="K76" s="693" t="str">
        <f ca="1">INDEX(INDIRECT("assessor"&amp;$C76),C67,K$22)</f>
        <v/>
      </c>
      <c r="L76" s="736" t="str">
        <f t="shared" ca="1" si="28"/>
        <v/>
      </c>
      <c r="M76" s="693" t="str">
        <f ca="1">INDEX(INDIRECT("assessor"&amp;$C76),C67,M$22)</f>
        <v/>
      </c>
      <c r="N76" s="736" t="str">
        <f t="shared" ca="1" si="29"/>
        <v/>
      </c>
      <c r="O76" s="693" t="str">
        <f ca="1">INDEX(INDIRECT("assessor"&amp;$C76),C67,O$22)</f>
        <v/>
      </c>
      <c r="P76" s="736" t="str">
        <f t="shared" ca="1" si="30"/>
        <v/>
      </c>
      <c r="Q76" s="693" t="str">
        <f ca="1">INDEX(INDIRECT("assessor"&amp;$C76),C67,Q$22)</f>
        <v/>
      </c>
      <c r="R76" s="736" t="str">
        <f t="shared" ca="1" si="31"/>
        <v/>
      </c>
      <c r="S76" s="31"/>
      <c r="T76" s="29"/>
      <c r="U76" s="29"/>
      <c r="V76" s="29"/>
      <c r="W76" s="29"/>
    </row>
    <row r="77" spans="2:23" ht="15" customHeight="1">
      <c r="B77" s="34"/>
      <c r="C77" s="531"/>
      <c r="D77" s="277"/>
      <c r="E77" s="277"/>
      <c r="F77" s="277"/>
      <c r="G77" s="364"/>
      <c r="H77" s="364"/>
      <c r="I77" s="364"/>
      <c r="J77" s="364"/>
      <c r="K77" s="364"/>
      <c r="L77" s="364"/>
      <c r="M77" s="364"/>
      <c r="N77" s="364"/>
      <c r="O77" s="364"/>
      <c r="P77" s="364"/>
      <c r="Q77" s="364"/>
      <c r="R77" s="364"/>
      <c r="S77" s="36"/>
      <c r="T77" s="29"/>
      <c r="U77" s="29"/>
      <c r="V77" s="29"/>
      <c r="W77" s="29"/>
    </row>
    <row r="78" spans="2:23" ht="15" customHeight="1">
      <c r="B78" s="353"/>
      <c r="C78" s="530">
        <v>4</v>
      </c>
      <c r="D78" s="532"/>
      <c r="E78" s="533"/>
      <c r="F78" s="533"/>
      <c r="G78" s="1104" t="s">
        <v>174</v>
      </c>
      <c r="H78" s="1104"/>
      <c r="I78" s="1104"/>
      <c r="J78" s="1104"/>
      <c r="K78" s="1104"/>
      <c r="L78" s="1104"/>
      <c r="M78" s="1104"/>
      <c r="N78" s="1104"/>
      <c r="O78" s="1104"/>
      <c r="P78" s="1104"/>
      <c r="Q78" s="1104"/>
      <c r="R78" s="1104"/>
      <c r="S78" s="354"/>
      <c r="T78" s="29"/>
      <c r="U78" s="29"/>
      <c r="V78" s="29"/>
      <c r="W78" s="29"/>
    </row>
    <row r="79" spans="2:23" ht="15" customHeight="1">
      <c r="B79" s="353"/>
      <c r="C79" s="530"/>
      <c r="D79" s="40" t="s">
        <v>198</v>
      </c>
      <c r="E79" s="97"/>
      <c r="F79" s="97"/>
      <c r="G79" s="368" t="str">
        <f t="shared" ref="G79:Q79" ca="1" si="33">IFERROR(AVERAGEIF(G80:G87,"&lt;&gt;"""),"")</f>
        <v/>
      </c>
      <c r="H79" s="735" t="str">
        <f t="shared" ref="H79:H87" ca="1" si="34">IF(G79=MAX($G79,$I79,$K79,$M79,$O79,$Q79),1,"")</f>
        <v/>
      </c>
      <c r="I79" s="368" t="str">
        <f t="shared" ca="1" si="33"/>
        <v/>
      </c>
      <c r="J79" s="735" t="str">
        <f t="shared" ref="J79:J87" ca="1" si="35">IF(I79=MAX($G79,$I79,$K79,$M79,$O79,$Q79),1,"")</f>
        <v/>
      </c>
      <c r="K79" s="368" t="str">
        <f t="shared" ca="1" si="33"/>
        <v/>
      </c>
      <c r="L79" s="735" t="str">
        <f t="shared" ref="L79:L87" ca="1" si="36">IF(K79=MAX($G79,$I79,$K79,$M79,$O79,$Q79),1,"")</f>
        <v/>
      </c>
      <c r="M79" s="368" t="str">
        <f t="shared" ca="1" si="33"/>
        <v/>
      </c>
      <c r="N79" s="735" t="str">
        <f t="shared" ref="N79:N87" ca="1" si="37">IF(M79=MAX($G79,$I79,$K79,$M79,$O79,$Q79),1,"")</f>
        <v/>
      </c>
      <c r="O79" s="368" t="str">
        <f t="shared" ca="1" si="33"/>
        <v/>
      </c>
      <c r="P79" s="735" t="str">
        <f t="shared" ref="P79:P87" ca="1" si="38">IF(O79=MAX($G79,$I79,$K79,$M79,$O79,$Q79),1,"")</f>
        <v/>
      </c>
      <c r="Q79" s="368" t="str">
        <f t="shared" ca="1" si="33"/>
        <v/>
      </c>
      <c r="R79" s="735" t="str">
        <f t="shared" ref="R79:R87" ca="1" si="39">IF(Q79=MAX($G79,$I79,$K79,$M79,$O79,$Q79),1,"")</f>
        <v/>
      </c>
      <c r="S79" s="354"/>
      <c r="T79" s="29"/>
      <c r="U79" s="29"/>
      <c r="V79" s="29"/>
      <c r="W79" s="29"/>
    </row>
    <row r="80" spans="2:23" ht="15" customHeight="1">
      <c r="B80" s="33"/>
      <c r="C80" s="530">
        <v>1</v>
      </c>
      <c r="D80" s="40" t="s">
        <v>162</v>
      </c>
      <c r="E80" s="29"/>
      <c r="F80" s="355" t="str">
        <f>F69</f>
        <v/>
      </c>
      <c r="G80" s="693" t="str">
        <f ca="1">INDEX(INDIRECT("assessor"&amp;$C80),C78,G$22)</f>
        <v/>
      </c>
      <c r="H80" s="736" t="str">
        <f t="shared" ca="1" si="34"/>
        <v/>
      </c>
      <c r="I80" s="693" t="str">
        <f ca="1">INDEX(INDIRECT("assessor"&amp;$C80),C78,I$22)</f>
        <v/>
      </c>
      <c r="J80" s="736" t="str">
        <f t="shared" ca="1" si="35"/>
        <v/>
      </c>
      <c r="K80" s="693" t="str">
        <f ca="1">INDEX(INDIRECT("assessor"&amp;$C80),C78,K$22)</f>
        <v/>
      </c>
      <c r="L80" s="736" t="str">
        <f t="shared" ca="1" si="36"/>
        <v/>
      </c>
      <c r="M80" s="693" t="str">
        <f ca="1">INDEX(INDIRECT("assessor"&amp;$C80),C78,M$22)</f>
        <v/>
      </c>
      <c r="N80" s="736" t="str">
        <f t="shared" ca="1" si="37"/>
        <v/>
      </c>
      <c r="O80" s="693" t="str">
        <f ca="1">INDEX(INDIRECT("assessor"&amp;$C80),C78,O$22)</f>
        <v/>
      </c>
      <c r="P80" s="736" t="str">
        <f t="shared" ca="1" si="38"/>
        <v/>
      </c>
      <c r="Q80" s="693" t="str">
        <f ca="1">INDEX(INDIRECT("assessor"&amp;$C80),C78,Q$22)</f>
        <v/>
      </c>
      <c r="R80" s="736" t="str">
        <f t="shared" ca="1" si="39"/>
        <v/>
      </c>
      <c r="S80" s="31"/>
      <c r="T80" s="29"/>
      <c r="U80" s="29"/>
      <c r="V80" s="29"/>
      <c r="W80" s="29"/>
    </row>
    <row r="81" spans="2:23" ht="15" customHeight="1">
      <c r="B81" s="33"/>
      <c r="C81" s="530">
        <v>2</v>
      </c>
      <c r="D81" s="40" t="s">
        <v>163</v>
      </c>
      <c r="E81" s="29"/>
      <c r="F81" s="355" t="str">
        <f t="shared" ref="F81:F87" si="40">F70</f>
        <v/>
      </c>
      <c r="G81" s="693" t="str">
        <f ca="1">INDEX(INDIRECT("assessor"&amp;$C81),C78,G$22)</f>
        <v/>
      </c>
      <c r="H81" s="736" t="str">
        <f t="shared" ca="1" si="34"/>
        <v/>
      </c>
      <c r="I81" s="693" t="str">
        <f ca="1">INDEX(INDIRECT("assessor"&amp;$C81),C78,I$22)</f>
        <v/>
      </c>
      <c r="J81" s="736" t="str">
        <f t="shared" ca="1" si="35"/>
        <v/>
      </c>
      <c r="K81" s="693" t="str">
        <f ca="1">INDEX(INDIRECT("assessor"&amp;$C81),C78,K$22)</f>
        <v/>
      </c>
      <c r="L81" s="736" t="str">
        <f t="shared" ca="1" si="36"/>
        <v/>
      </c>
      <c r="M81" s="693" t="str">
        <f ca="1">INDEX(INDIRECT("assessor"&amp;$C81),C78,M$22)</f>
        <v/>
      </c>
      <c r="N81" s="736" t="str">
        <f t="shared" ca="1" si="37"/>
        <v/>
      </c>
      <c r="O81" s="693" t="str">
        <f ca="1">INDEX(INDIRECT("assessor"&amp;$C81),C78,O$22)</f>
        <v/>
      </c>
      <c r="P81" s="736" t="str">
        <f t="shared" ca="1" si="38"/>
        <v/>
      </c>
      <c r="Q81" s="693" t="str">
        <f ca="1">INDEX(INDIRECT("assessor"&amp;$C81),C78,Q$22)</f>
        <v/>
      </c>
      <c r="R81" s="736" t="str">
        <f t="shared" ca="1" si="39"/>
        <v/>
      </c>
      <c r="S81" s="31"/>
      <c r="T81" s="29"/>
      <c r="U81" s="29"/>
      <c r="V81" s="29"/>
      <c r="W81" s="29"/>
    </row>
    <row r="82" spans="2:23" ht="15" customHeight="1">
      <c r="B82" s="33"/>
      <c r="C82" s="530">
        <v>3</v>
      </c>
      <c r="D82" s="40" t="s">
        <v>164</v>
      </c>
      <c r="E82" s="29"/>
      <c r="F82" s="355" t="str">
        <f t="shared" si="40"/>
        <v/>
      </c>
      <c r="G82" s="693" t="str">
        <f ca="1">INDEX(INDIRECT("assessor"&amp;$C82),C78,G$22)</f>
        <v/>
      </c>
      <c r="H82" s="736" t="str">
        <f t="shared" ca="1" si="34"/>
        <v/>
      </c>
      <c r="I82" s="693" t="str">
        <f ca="1">INDEX(INDIRECT("assessor"&amp;$C82),C78,I$22)</f>
        <v/>
      </c>
      <c r="J82" s="736" t="str">
        <f t="shared" ca="1" si="35"/>
        <v/>
      </c>
      <c r="K82" s="693" t="str">
        <f ca="1">INDEX(INDIRECT("assessor"&amp;$C82),C78,K$22)</f>
        <v/>
      </c>
      <c r="L82" s="736" t="str">
        <f t="shared" ca="1" si="36"/>
        <v/>
      </c>
      <c r="M82" s="693" t="str">
        <f ca="1">INDEX(INDIRECT("assessor"&amp;$C82),C78,M$22)</f>
        <v/>
      </c>
      <c r="N82" s="736" t="str">
        <f t="shared" ca="1" si="37"/>
        <v/>
      </c>
      <c r="O82" s="693" t="str">
        <f ca="1">INDEX(INDIRECT("assessor"&amp;$C82),C78,O$22)</f>
        <v/>
      </c>
      <c r="P82" s="736" t="str">
        <f t="shared" ca="1" si="38"/>
        <v/>
      </c>
      <c r="Q82" s="693" t="str">
        <f ca="1">INDEX(INDIRECT("assessor"&amp;$C82),C78,Q$22)</f>
        <v/>
      </c>
      <c r="R82" s="736" t="str">
        <f t="shared" ca="1" si="39"/>
        <v/>
      </c>
      <c r="S82" s="31"/>
      <c r="T82" s="29"/>
      <c r="U82" s="29"/>
      <c r="V82" s="29"/>
      <c r="W82" s="29"/>
    </row>
    <row r="83" spans="2:23" ht="15" customHeight="1">
      <c r="B83" s="33"/>
      <c r="C83" s="530">
        <v>4</v>
      </c>
      <c r="D83" s="40" t="s">
        <v>165</v>
      </c>
      <c r="E83" s="29"/>
      <c r="F83" s="355" t="str">
        <f t="shared" si="40"/>
        <v/>
      </c>
      <c r="G83" s="693" t="str">
        <f ca="1">INDEX(INDIRECT("assessor"&amp;$C83),C78,G$22)</f>
        <v/>
      </c>
      <c r="H83" s="736" t="str">
        <f t="shared" ca="1" si="34"/>
        <v/>
      </c>
      <c r="I83" s="693" t="str">
        <f ca="1">INDEX(INDIRECT("assessor"&amp;$C83),C78,I$22)</f>
        <v/>
      </c>
      <c r="J83" s="736" t="str">
        <f t="shared" ca="1" si="35"/>
        <v/>
      </c>
      <c r="K83" s="693" t="str">
        <f ca="1">INDEX(INDIRECT("assessor"&amp;$C83),C78,K$22)</f>
        <v/>
      </c>
      <c r="L83" s="736" t="str">
        <f t="shared" ca="1" si="36"/>
        <v/>
      </c>
      <c r="M83" s="693" t="str">
        <f ca="1">INDEX(INDIRECT("assessor"&amp;$C83),C78,M$22)</f>
        <v/>
      </c>
      <c r="N83" s="736" t="str">
        <f t="shared" ca="1" si="37"/>
        <v/>
      </c>
      <c r="O83" s="693" t="str">
        <f ca="1">INDEX(INDIRECT("assessor"&amp;$C83),C78,O$22)</f>
        <v/>
      </c>
      <c r="P83" s="736" t="str">
        <f t="shared" ca="1" si="38"/>
        <v/>
      </c>
      <c r="Q83" s="693" t="str">
        <f ca="1">INDEX(INDIRECT("assessor"&amp;$C83),C78,Q$22)</f>
        <v/>
      </c>
      <c r="R83" s="736" t="str">
        <f t="shared" ca="1" si="39"/>
        <v/>
      </c>
      <c r="S83" s="31"/>
      <c r="T83" s="29"/>
      <c r="U83" s="29"/>
      <c r="V83" s="29"/>
      <c r="W83" s="29"/>
    </row>
    <row r="84" spans="2:23" ht="15" customHeight="1">
      <c r="B84" s="33"/>
      <c r="C84" s="530">
        <v>5</v>
      </c>
      <c r="D84" s="40" t="s">
        <v>166</v>
      </c>
      <c r="E84" s="26"/>
      <c r="F84" s="355" t="str">
        <f t="shared" si="40"/>
        <v/>
      </c>
      <c r="G84" s="693" t="str">
        <f ca="1">INDEX(INDIRECT("assessor"&amp;$C84),C78,G$22)</f>
        <v/>
      </c>
      <c r="H84" s="736" t="str">
        <f t="shared" ca="1" si="34"/>
        <v/>
      </c>
      <c r="I84" s="693" t="str">
        <f ca="1">INDEX(INDIRECT("assessor"&amp;$C84),C78,I$22)</f>
        <v/>
      </c>
      <c r="J84" s="736" t="str">
        <f t="shared" ca="1" si="35"/>
        <v/>
      </c>
      <c r="K84" s="693" t="str">
        <f ca="1">INDEX(INDIRECT("assessor"&amp;$C84),C78,K$22)</f>
        <v/>
      </c>
      <c r="L84" s="736" t="str">
        <f t="shared" ca="1" si="36"/>
        <v/>
      </c>
      <c r="M84" s="693" t="str">
        <f ca="1">INDEX(INDIRECT("assessor"&amp;$C84),C78,M$22)</f>
        <v/>
      </c>
      <c r="N84" s="736" t="str">
        <f t="shared" ca="1" si="37"/>
        <v/>
      </c>
      <c r="O84" s="693" t="str">
        <f ca="1">INDEX(INDIRECT("assessor"&amp;$C84),C78,O$22)</f>
        <v/>
      </c>
      <c r="P84" s="736" t="str">
        <f t="shared" ca="1" si="38"/>
        <v/>
      </c>
      <c r="Q84" s="693" t="str">
        <f ca="1">INDEX(INDIRECT("assessor"&amp;$C84),C78,Q$22)</f>
        <v/>
      </c>
      <c r="R84" s="736" t="str">
        <f t="shared" ca="1" si="39"/>
        <v/>
      </c>
      <c r="S84" s="31"/>
      <c r="T84" s="29"/>
      <c r="U84" s="29"/>
      <c r="V84" s="29"/>
      <c r="W84" s="29"/>
    </row>
    <row r="85" spans="2:23" ht="15" customHeight="1">
      <c r="B85" s="33"/>
      <c r="C85" s="530">
        <v>6</v>
      </c>
      <c r="D85" s="40" t="s">
        <v>167</v>
      </c>
      <c r="E85" s="26"/>
      <c r="F85" s="355" t="str">
        <f t="shared" si="40"/>
        <v/>
      </c>
      <c r="G85" s="693" t="str">
        <f ca="1">INDEX(INDIRECT("assessor"&amp;$C85),C78,G$22)</f>
        <v/>
      </c>
      <c r="H85" s="736" t="str">
        <f t="shared" ca="1" si="34"/>
        <v/>
      </c>
      <c r="I85" s="693" t="str">
        <f ca="1">INDEX(INDIRECT("assessor"&amp;$C85),C78,I$22)</f>
        <v/>
      </c>
      <c r="J85" s="736" t="str">
        <f t="shared" ca="1" si="35"/>
        <v/>
      </c>
      <c r="K85" s="693" t="str">
        <f ca="1">INDEX(INDIRECT("assessor"&amp;$C85),C78,K$22)</f>
        <v/>
      </c>
      <c r="L85" s="736" t="str">
        <f t="shared" ca="1" si="36"/>
        <v/>
      </c>
      <c r="M85" s="693" t="str">
        <f ca="1">INDEX(INDIRECT("assessor"&amp;$C85),C78,M$22)</f>
        <v/>
      </c>
      <c r="N85" s="736" t="str">
        <f t="shared" ca="1" si="37"/>
        <v/>
      </c>
      <c r="O85" s="693" t="str">
        <f ca="1">INDEX(INDIRECT("assessor"&amp;$C85),C78,O$22)</f>
        <v/>
      </c>
      <c r="P85" s="736" t="str">
        <f t="shared" ca="1" si="38"/>
        <v/>
      </c>
      <c r="Q85" s="693" t="str">
        <f ca="1">INDEX(INDIRECT("assessor"&amp;$C85),C78,Q$22)</f>
        <v/>
      </c>
      <c r="R85" s="736" t="str">
        <f t="shared" ca="1" si="39"/>
        <v/>
      </c>
      <c r="S85" s="31"/>
      <c r="T85" s="29"/>
      <c r="U85" s="29"/>
      <c r="V85" s="29"/>
      <c r="W85" s="29"/>
    </row>
    <row r="86" spans="2:23" ht="15" customHeight="1">
      <c r="B86" s="33"/>
      <c r="C86" s="530">
        <v>7</v>
      </c>
      <c r="D86" s="40" t="s">
        <v>168</v>
      </c>
      <c r="E86" s="26"/>
      <c r="F86" s="355" t="str">
        <f t="shared" si="40"/>
        <v/>
      </c>
      <c r="G86" s="693" t="str">
        <f ca="1">INDEX(INDIRECT("assessor"&amp;$C86),C78,G$22)</f>
        <v/>
      </c>
      <c r="H86" s="736" t="str">
        <f t="shared" ca="1" si="34"/>
        <v/>
      </c>
      <c r="I86" s="693" t="str">
        <f ca="1">INDEX(INDIRECT("assessor"&amp;$C86),C78,I$22)</f>
        <v/>
      </c>
      <c r="J86" s="736" t="str">
        <f t="shared" ca="1" si="35"/>
        <v/>
      </c>
      <c r="K86" s="693" t="str">
        <f ca="1">INDEX(INDIRECT("assessor"&amp;$C86),C78,K$22)</f>
        <v/>
      </c>
      <c r="L86" s="736" t="str">
        <f t="shared" ca="1" si="36"/>
        <v/>
      </c>
      <c r="M86" s="693" t="str">
        <f ca="1">INDEX(INDIRECT("assessor"&amp;$C86),C78,M$22)</f>
        <v/>
      </c>
      <c r="N86" s="736" t="str">
        <f t="shared" ca="1" si="37"/>
        <v/>
      </c>
      <c r="O86" s="693" t="str">
        <f ca="1">INDEX(INDIRECT("assessor"&amp;$C86),C78,O$22)</f>
        <v/>
      </c>
      <c r="P86" s="736" t="str">
        <f t="shared" ca="1" si="38"/>
        <v/>
      </c>
      <c r="Q86" s="693" t="str">
        <f ca="1">INDEX(INDIRECT("assessor"&amp;$C86),C78,Q$22)</f>
        <v/>
      </c>
      <c r="R86" s="736" t="str">
        <f t="shared" ca="1" si="39"/>
        <v/>
      </c>
      <c r="S86" s="31"/>
      <c r="T86" s="29"/>
      <c r="U86" s="29"/>
      <c r="V86" s="29"/>
      <c r="W86" s="29"/>
    </row>
    <row r="87" spans="2:23" ht="15" customHeight="1">
      <c r="B87" s="33"/>
      <c r="C87" s="530">
        <v>8</v>
      </c>
      <c r="D87" s="40" t="s">
        <v>169</v>
      </c>
      <c r="E87" s="26"/>
      <c r="F87" s="355" t="str">
        <f t="shared" si="40"/>
        <v/>
      </c>
      <c r="G87" s="693" t="str">
        <f ca="1">INDEX(INDIRECT("assessor"&amp;$C87),C78,G$22)</f>
        <v/>
      </c>
      <c r="H87" s="736" t="str">
        <f t="shared" ca="1" si="34"/>
        <v/>
      </c>
      <c r="I87" s="693" t="str">
        <f ca="1">INDEX(INDIRECT("assessor"&amp;$C87),C78,I$22)</f>
        <v/>
      </c>
      <c r="J87" s="736" t="str">
        <f t="shared" ca="1" si="35"/>
        <v/>
      </c>
      <c r="K87" s="693" t="str">
        <f ca="1">INDEX(INDIRECT("assessor"&amp;$C87),C78,K$22)</f>
        <v/>
      </c>
      <c r="L87" s="736" t="str">
        <f t="shared" ca="1" si="36"/>
        <v/>
      </c>
      <c r="M87" s="693" t="str">
        <f ca="1">INDEX(INDIRECT("assessor"&amp;$C87),C78,M$22)</f>
        <v/>
      </c>
      <c r="N87" s="736" t="str">
        <f t="shared" ca="1" si="37"/>
        <v/>
      </c>
      <c r="O87" s="693" t="str">
        <f ca="1">INDEX(INDIRECT("assessor"&amp;$C87),C78,O$22)</f>
        <v/>
      </c>
      <c r="P87" s="736" t="str">
        <f t="shared" ca="1" si="38"/>
        <v/>
      </c>
      <c r="Q87" s="693" t="str">
        <f ca="1">INDEX(INDIRECT("assessor"&amp;$C87),C78,Q$22)</f>
        <v/>
      </c>
      <c r="R87" s="736" t="str">
        <f t="shared" ca="1" si="39"/>
        <v/>
      </c>
      <c r="S87" s="31"/>
      <c r="T87" s="29"/>
      <c r="U87" s="29"/>
      <c r="V87" s="29"/>
      <c r="W87" s="29"/>
    </row>
    <row r="88" spans="2:23" ht="15" customHeight="1">
      <c r="B88" s="34"/>
      <c r="C88" s="531"/>
      <c r="D88" s="277"/>
      <c r="E88" s="277"/>
      <c r="F88" s="277"/>
      <c r="G88" s="364"/>
      <c r="H88" s="364"/>
      <c r="I88" s="364"/>
      <c r="J88" s="364"/>
      <c r="K88" s="364"/>
      <c r="L88" s="364"/>
      <c r="M88" s="364"/>
      <c r="N88" s="364"/>
      <c r="O88" s="364"/>
      <c r="P88" s="364"/>
      <c r="Q88" s="364"/>
      <c r="R88" s="364"/>
      <c r="S88" s="36"/>
      <c r="T88" s="29"/>
      <c r="U88" s="29"/>
      <c r="V88" s="29"/>
      <c r="W88" s="29"/>
    </row>
    <row r="89" spans="2:23" ht="15" customHeight="1">
      <c r="B89" s="353"/>
      <c r="C89" s="530">
        <v>5</v>
      </c>
      <c r="D89" s="532"/>
      <c r="E89" s="533"/>
      <c r="F89" s="533"/>
      <c r="G89" s="1104" t="s">
        <v>175</v>
      </c>
      <c r="H89" s="1104"/>
      <c r="I89" s="1104"/>
      <c r="J89" s="1104"/>
      <c r="K89" s="1104"/>
      <c r="L89" s="1104"/>
      <c r="M89" s="1104"/>
      <c r="N89" s="1104"/>
      <c r="O89" s="1104"/>
      <c r="P89" s="1104"/>
      <c r="Q89" s="1104"/>
      <c r="R89" s="1104"/>
      <c r="S89" s="354"/>
      <c r="T89" s="29"/>
      <c r="U89" s="29"/>
      <c r="V89" s="29"/>
      <c r="W89" s="29"/>
    </row>
    <row r="90" spans="2:23" ht="15" customHeight="1">
      <c r="B90" s="353"/>
      <c r="C90" s="530"/>
      <c r="D90" s="40" t="s">
        <v>198</v>
      </c>
      <c r="E90" s="97"/>
      <c r="F90" s="97"/>
      <c r="G90" s="368" t="str">
        <f t="shared" ref="G90:Q90" ca="1" si="41">IFERROR(AVERAGEIF(G91:G98,"&lt;&gt;"""),"")</f>
        <v/>
      </c>
      <c r="H90" s="735" t="str">
        <f t="shared" ref="H90:H98" ca="1" si="42">IF(G90=MAX($G90,$I90,$K90,$M90,$O90,$Q90),1,"")</f>
        <v/>
      </c>
      <c r="I90" s="368" t="str">
        <f t="shared" ca="1" si="41"/>
        <v/>
      </c>
      <c r="J90" s="735" t="str">
        <f t="shared" ref="J90:J98" ca="1" si="43">IF(I90=MAX($G90,$I90,$K90,$M90,$O90,$Q90),1,"")</f>
        <v/>
      </c>
      <c r="K90" s="368" t="str">
        <f t="shared" ca="1" si="41"/>
        <v/>
      </c>
      <c r="L90" s="735" t="str">
        <f t="shared" ref="L90:L98" ca="1" si="44">IF(K90=MAX($G90,$I90,$K90,$M90,$O90,$Q90),1,"")</f>
        <v/>
      </c>
      <c r="M90" s="368" t="str">
        <f t="shared" ca="1" si="41"/>
        <v/>
      </c>
      <c r="N90" s="735" t="str">
        <f t="shared" ref="N90:N98" ca="1" si="45">IF(M90=MAX($G90,$I90,$K90,$M90,$O90,$Q90),1,"")</f>
        <v/>
      </c>
      <c r="O90" s="368" t="str">
        <f t="shared" ca="1" si="41"/>
        <v/>
      </c>
      <c r="P90" s="735" t="str">
        <f t="shared" ref="P90:P98" ca="1" si="46">IF(O90=MAX($G90,$I90,$K90,$M90,$O90,$Q90),1,"")</f>
        <v/>
      </c>
      <c r="Q90" s="368" t="str">
        <f t="shared" ca="1" si="41"/>
        <v/>
      </c>
      <c r="R90" s="735" t="str">
        <f t="shared" ref="R90:R98" ca="1" si="47">IF(Q90=MAX($G90,$I90,$K90,$M90,$O90,$Q90),1,"")</f>
        <v/>
      </c>
      <c r="S90" s="354"/>
      <c r="T90" s="29"/>
      <c r="U90" s="29"/>
      <c r="V90" s="29"/>
      <c r="W90" s="29"/>
    </row>
    <row r="91" spans="2:23" ht="15" customHeight="1">
      <c r="B91" s="33"/>
      <c r="C91" s="530">
        <v>1</v>
      </c>
      <c r="D91" s="40" t="s">
        <v>162</v>
      </c>
      <c r="E91" s="29"/>
      <c r="F91" s="355" t="str">
        <f>F80</f>
        <v/>
      </c>
      <c r="G91" s="693" t="str">
        <f ca="1">INDEX(INDIRECT("assessor"&amp;$C91),C89,G$22)</f>
        <v/>
      </c>
      <c r="H91" s="736" t="str">
        <f t="shared" ca="1" si="42"/>
        <v/>
      </c>
      <c r="I91" s="693" t="str">
        <f ca="1">INDEX(INDIRECT("assessor"&amp;$C91),C89,I$22)</f>
        <v/>
      </c>
      <c r="J91" s="736" t="str">
        <f t="shared" ca="1" si="43"/>
        <v/>
      </c>
      <c r="K91" s="693" t="str">
        <f ca="1">INDEX(INDIRECT("assessor"&amp;$C91),C89,K$22)</f>
        <v/>
      </c>
      <c r="L91" s="736" t="str">
        <f t="shared" ca="1" si="44"/>
        <v/>
      </c>
      <c r="M91" s="693" t="str">
        <f ca="1">INDEX(INDIRECT("assessor"&amp;$C91),C89,M$22)</f>
        <v/>
      </c>
      <c r="N91" s="736" t="str">
        <f t="shared" ca="1" si="45"/>
        <v/>
      </c>
      <c r="O91" s="693" t="str">
        <f ca="1">INDEX(INDIRECT("assessor"&amp;$C91),C89,O$22)</f>
        <v/>
      </c>
      <c r="P91" s="736" t="str">
        <f t="shared" ca="1" si="46"/>
        <v/>
      </c>
      <c r="Q91" s="693" t="str">
        <f ca="1">INDEX(INDIRECT("assessor"&amp;$C91),C89,Q$22)</f>
        <v/>
      </c>
      <c r="R91" s="736" t="str">
        <f t="shared" ca="1" si="47"/>
        <v/>
      </c>
      <c r="S91" s="31"/>
      <c r="T91" s="29"/>
      <c r="U91" s="29"/>
      <c r="V91" s="29"/>
      <c r="W91" s="29"/>
    </row>
    <row r="92" spans="2:23" ht="15" customHeight="1">
      <c r="B92" s="33"/>
      <c r="C92" s="530">
        <v>2</v>
      </c>
      <c r="D92" s="40" t="s">
        <v>163</v>
      </c>
      <c r="E92" s="29"/>
      <c r="F92" s="355" t="str">
        <f t="shared" ref="F92:F98" si="48">F81</f>
        <v/>
      </c>
      <c r="G92" s="693" t="str">
        <f ca="1">INDEX(INDIRECT("assessor"&amp;$C92),C89,G$22)</f>
        <v/>
      </c>
      <c r="H92" s="736" t="str">
        <f t="shared" ca="1" si="42"/>
        <v/>
      </c>
      <c r="I92" s="693" t="str">
        <f ca="1">INDEX(INDIRECT("assessor"&amp;$C92),C89,I$22)</f>
        <v/>
      </c>
      <c r="J92" s="736" t="str">
        <f t="shared" ca="1" si="43"/>
        <v/>
      </c>
      <c r="K92" s="693" t="str">
        <f ca="1">INDEX(INDIRECT("assessor"&amp;$C92),C89,K$22)</f>
        <v/>
      </c>
      <c r="L92" s="736" t="str">
        <f t="shared" ca="1" si="44"/>
        <v/>
      </c>
      <c r="M92" s="693" t="str">
        <f ca="1">INDEX(INDIRECT("assessor"&amp;$C92),C89,M$22)</f>
        <v/>
      </c>
      <c r="N92" s="736" t="str">
        <f t="shared" ca="1" si="45"/>
        <v/>
      </c>
      <c r="O92" s="693" t="str">
        <f ca="1">INDEX(INDIRECT("assessor"&amp;$C92),C89,O$22)</f>
        <v/>
      </c>
      <c r="P92" s="736" t="str">
        <f t="shared" ca="1" si="46"/>
        <v/>
      </c>
      <c r="Q92" s="693" t="str">
        <f ca="1">INDEX(INDIRECT("assessor"&amp;$C92),C89,Q$22)</f>
        <v/>
      </c>
      <c r="R92" s="736" t="str">
        <f t="shared" ca="1" si="47"/>
        <v/>
      </c>
      <c r="S92" s="31"/>
      <c r="T92" s="29"/>
      <c r="U92" s="29"/>
      <c r="V92" s="29"/>
      <c r="W92" s="29"/>
    </row>
    <row r="93" spans="2:23" ht="15" customHeight="1">
      <c r="B93" s="33"/>
      <c r="C93" s="530">
        <v>3</v>
      </c>
      <c r="D93" s="40" t="s">
        <v>164</v>
      </c>
      <c r="E93" s="29"/>
      <c r="F93" s="355" t="str">
        <f t="shared" si="48"/>
        <v/>
      </c>
      <c r="G93" s="693" t="str">
        <f ca="1">INDEX(INDIRECT("assessor"&amp;$C93),C89,G$22)</f>
        <v/>
      </c>
      <c r="H93" s="736" t="str">
        <f t="shared" ca="1" si="42"/>
        <v/>
      </c>
      <c r="I93" s="693" t="str">
        <f ca="1">INDEX(INDIRECT("assessor"&amp;$C93),C89,I$22)</f>
        <v/>
      </c>
      <c r="J93" s="736" t="str">
        <f t="shared" ca="1" si="43"/>
        <v/>
      </c>
      <c r="K93" s="693" t="str">
        <f ca="1">INDEX(INDIRECT("assessor"&amp;$C93),C89,K$22)</f>
        <v/>
      </c>
      <c r="L93" s="736" t="str">
        <f t="shared" ca="1" si="44"/>
        <v/>
      </c>
      <c r="M93" s="693" t="str">
        <f ca="1">INDEX(INDIRECT("assessor"&amp;$C93),C89,M$22)</f>
        <v/>
      </c>
      <c r="N93" s="736" t="str">
        <f t="shared" ca="1" si="45"/>
        <v/>
      </c>
      <c r="O93" s="693" t="str">
        <f ca="1">INDEX(INDIRECT("assessor"&amp;$C93),C89,O$22)</f>
        <v/>
      </c>
      <c r="P93" s="736" t="str">
        <f t="shared" ca="1" si="46"/>
        <v/>
      </c>
      <c r="Q93" s="693" t="str">
        <f ca="1">INDEX(INDIRECT("assessor"&amp;$C93),C89,Q$22)</f>
        <v/>
      </c>
      <c r="R93" s="736" t="str">
        <f t="shared" ca="1" si="47"/>
        <v/>
      </c>
      <c r="S93" s="31"/>
      <c r="T93" s="29"/>
      <c r="U93" s="29"/>
      <c r="V93" s="29"/>
      <c r="W93" s="29"/>
    </row>
    <row r="94" spans="2:23" ht="15" customHeight="1">
      <c r="B94" s="33"/>
      <c r="C94" s="530">
        <v>4</v>
      </c>
      <c r="D94" s="40" t="s">
        <v>165</v>
      </c>
      <c r="E94" s="29"/>
      <c r="F94" s="355" t="str">
        <f t="shared" si="48"/>
        <v/>
      </c>
      <c r="G94" s="693" t="str">
        <f ca="1">INDEX(INDIRECT("assessor"&amp;$C94),C89,G$22)</f>
        <v/>
      </c>
      <c r="H94" s="736" t="str">
        <f t="shared" ca="1" si="42"/>
        <v/>
      </c>
      <c r="I94" s="693" t="str">
        <f ca="1">INDEX(INDIRECT("assessor"&amp;$C94),C89,I$22)</f>
        <v/>
      </c>
      <c r="J94" s="736" t="str">
        <f t="shared" ca="1" si="43"/>
        <v/>
      </c>
      <c r="K94" s="693" t="str">
        <f ca="1">INDEX(INDIRECT("assessor"&amp;$C94),C89,K$22)</f>
        <v/>
      </c>
      <c r="L94" s="736" t="str">
        <f t="shared" ca="1" si="44"/>
        <v/>
      </c>
      <c r="M94" s="693" t="str">
        <f ca="1">INDEX(INDIRECT("assessor"&amp;$C94),C89,M$22)</f>
        <v/>
      </c>
      <c r="N94" s="736" t="str">
        <f t="shared" ca="1" si="45"/>
        <v/>
      </c>
      <c r="O94" s="693" t="str">
        <f ca="1">INDEX(INDIRECT("assessor"&amp;$C94),C89,O$22)</f>
        <v/>
      </c>
      <c r="P94" s="736" t="str">
        <f t="shared" ca="1" si="46"/>
        <v/>
      </c>
      <c r="Q94" s="693" t="str">
        <f ca="1">INDEX(INDIRECT("assessor"&amp;$C94),C89,Q$22)</f>
        <v/>
      </c>
      <c r="R94" s="736" t="str">
        <f t="shared" ca="1" si="47"/>
        <v/>
      </c>
      <c r="S94" s="31"/>
      <c r="T94" s="29"/>
      <c r="U94" s="29"/>
      <c r="V94" s="29"/>
      <c r="W94" s="29"/>
    </row>
    <row r="95" spans="2:23" ht="15" customHeight="1">
      <c r="B95" s="33"/>
      <c r="C95" s="530">
        <v>5</v>
      </c>
      <c r="D95" s="40" t="s">
        <v>166</v>
      </c>
      <c r="E95" s="26"/>
      <c r="F95" s="355" t="str">
        <f t="shared" si="48"/>
        <v/>
      </c>
      <c r="G95" s="693" t="str">
        <f ca="1">INDEX(INDIRECT("assessor"&amp;$C95),C89,G$22)</f>
        <v/>
      </c>
      <c r="H95" s="736" t="str">
        <f t="shared" ca="1" si="42"/>
        <v/>
      </c>
      <c r="I95" s="693" t="str">
        <f ca="1">INDEX(INDIRECT("assessor"&amp;$C95),C89,I$22)</f>
        <v/>
      </c>
      <c r="J95" s="736" t="str">
        <f t="shared" ca="1" si="43"/>
        <v/>
      </c>
      <c r="K95" s="693" t="str">
        <f ca="1">INDEX(INDIRECT("assessor"&amp;$C95),C89,K$22)</f>
        <v/>
      </c>
      <c r="L95" s="736" t="str">
        <f t="shared" ca="1" si="44"/>
        <v/>
      </c>
      <c r="M95" s="693" t="str">
        <f ca="1">INDEX(INDIRECT("assessor"&amp;$C95),C89,M$22)</f>
        <v/>
      </c>
      <c r="N95" s="736" t="str">
        <f t="shared" ca="1" si="45"/>
        <v/>
      </c>
      <c r="O95" s="693" t="str">
        <f ca="1">INDEX(INDIRECT("assessor"&amp;$C95),C89,O$22)</f>
        <v/>
      </c>
      <c r="P95" s="736" t="str">
        <f t="shared" ca="1" si="46"/>
        <v/>
      </c>
      <c r="Q95" s="693" t="str">
        <f ca="1">INDEX(INDIRECT("assessor"&amp;$C95),C89,Q$22)</f>
        <v/>
      </c>
      <c r="R95" s="736" t="str">
        <f t="shared" ca="1" si="47"/>
        <v/>
      </c>
      <c r="S95" s="31"/>
      <c r="T95" s="29"/>
      <c r="U95" s="29"/>
      <c r="V95" s="29"/>
      <c r="W95" s="29"/>
    </row>
    <row r="96" spans="2:23" ht="15" customHeight="1">
      <c r="B96" s="33"/>
      <c r="C96" s="530">
        <v>6</v>
      </c>
      <c r="D96" s="40" t="s">
        <v>167</v>
      </c>
      <c r="E96" s="26"/>
      <c r="F96" s="355" t="str">
        <f t="shared" si="48"/>
        <v/>
      </c>
      <c r="G96" s="693" t="str">
        <f ca="1">INDEX(INDIRECT("assessor"&amp;$C96),C89,G$22)</f>
        <v/>
      </c>
      <c r="H96" s="736" t="str">
        <f t="shared" ca="1" si="42"/>
        <v/>
      </c>
      <c r="I96" s="693" t="str">
        <f ca="1">INDEX(INDIRECT("assessor"&amp;$C96),C89,I$22)</f>
        <v/>
      </c>
      <c r="J96" s="736" t="str">
        <f t="shared" ca="1" si="43"/>
        <v/>
      </c>
      <c r="K96" s="693" t="str">
        <f ca="1">INDEX(INDIRECT("assessor"&amp;$C96),C89,K$22)</f>
        <v/>
      </c>
      <c r="L96" s="736" t="str">
        <f t="shared" ca="1" si="44"/>
        <v/>
      </c>
      <c r="M96" s="693" t="str">
        <f ca="1">INDEX(INDIRECT("assessor"&amp;$C96),C89,M$22)</f>
        <v/>
      </c>
      <c r="N96" s="736" t="str">
        <f t="shared" ca="1" si="45"/>
        <v/>
      </c>
      <c r="O96" s="693" t="str">
        <f ca="1">INDEX(INDIRECT("assessor"&amp;$C96),C89,O$22)</f>
        <v/>
      </c>
      <c r="P96" s="736" t="str">
        <f t="shared" ca="1" si="46"/>
        <v/>
      </c>
      <c r="Q96" s="693" t="str">
        <f ca="1">INDEX(INDIRECT("assessor"&amp;$C96),C89,Q$22)</f>
        <v/>
      </c>
      <c r="R96" s="736" t="str">
        <f t="shared" ca="1" si="47"/>
        <v/>
      </c>
      <c r="S96" s="31"/>
      <c r="T96" s="29"/>
      <c r="U96" s="29"/>
      <c r="V96" s="29"/>
      <c r="W96" s="29"/>
    </row>
    <row r="97" spans="2:23" ht="15" customHeight="1">
      <c r="B97" s="33"/>
      <c r="C97" s="530">
        <v>7</v>
      </c>
      <c r="D97" s="40" t="s">
        <v>168</v>
      </c>
      <c r="E97" s="26"/>
      <c r="F97" s="355" t="str">
        <f t="shared" si="48"/>
        <v/>
      </c>
      <c r="G97" s="693" t="str">
        <f ca="1">INDEX(INDIRECT("assessor"&amp;$C97),C89,G$22)</f>
        <v/>
      </c>
      <c r="H97" s="736" t="str">
        <f t="shared" ca="1" si="42"/>
        <v/>
      </c>
      <c r="I97" s="693" t="str">
        <f ca="1">INDEX(INDIRECT("assessor"&amp;$C97),C89,I$22)</f>
        <v/>
      </c>
      <c r="J97" s="736" t="str">
        <f t="shared" ca="1" si="43"/>
        <v/>
      </c>
      <c r="K97" s="693" t="str">
        <f ca="1">INDEX(INDIRECT("assessor"&amp;$C97),C89,K$22)</f>
        <v/>
      </c>
      <c r="L97" s="736" t="str">
        <f t="shared" ca="1" si="44"/>
        <v/>
      </c>
      <c r="M97" s="693" t="str">
        <f ca="1">INDEX(INDIRECT("assessor"&amp;$C97),C89,M$22)</f>
        <v/>
      </c>
      <c r="N97" s="736" t="str">
        <f t="shared" ca="1" si="45"/>
        <v/>
      </c>
      <c r="O97" s="693" t="str">
        <f ca="1">INDEX(INDIRECT("assessor"&amp;$C97),C89,O$22)</f>
        <v/>
      </c>
      <c r="P97" s="736" t="str">
        <f t="shared" ca="1" si="46"/>
        <v/>
      </c>
      <c r="Q97" s="693" t="str">
        <f ca="1">INDEX(INDIRECT("assessor"&amp;$C97),C89,Q$22)</f>
        <v/>
      </c>
      <c r="R97" s="736" t="str">
        <f t="shared" ca="1" si="47"/>
        <v/>
      </c>
      <c r="S97" s="31"/>
      <c r="T97" s="29"/>
      <c r="U97" s="29"/>
      <c r="V97" s="29"/>
      <c r="W97" s="29"/>
    </row>
    <row r="98" spans="2:23" ht="15" customHeight="1">
      <c r="B98" s="33"/>
      <c r="C98" s="530">
        <v>8</v>
      </c>
      <c r="D98" s="40" t="s">
        <v>169</v>
      </c>
      <c r="E98" s="26"/>
      <c r="F98" s="355" t="str">
        <f t="shared" si="48"/>
        <v/>
      </c>
      <c r="G98" s="693" t="str">
        <f ca="1">INDEX(INDIRECT("assessor"&amp;$C98),C89,G$22)</f>
        <v/>
      </c>
      <c r="H98" s="736" t="str">
        <f t="shared" ca="1" si="42"/>
        <v/>
      </c>
      <c r="I98" s="693" t="str">
        <f ca="1">INDEX(INDIRECT("assessor"&amp;$C98),C89,I$22)</f>
        <v/>
      </c>
      <c r="J98" s="736" t="str">
        <f t="shared" ca="1" si="43"/>
        <v/>
      </c>
      <c r="K98" s="693" t="str">
        <f ca="1">INDEX(INDIRECT("assessor"&amp;$C98),C89,K$22)</f>
        <v/>
      </c>
      <c r="L98" s="736" t="str">
        <f t="shared" ca="1" si="44"/>
        <v/>
      </c>
      <c r="M98" s="693" t="str">
        <f ca="1">INDEX(INDIRECT("assessor"&amp;$C98),C89,M$22)</f>
        <v/>
      </c>
      <c r="N98" s="736" t="str">
        <f t="shared" ca="1" si="45"/>
        <v/>
      </c>
      <c r="O98" s="693" t="str">
        <f ca="1">INDEX(INDIRECT("assessor"&amp;$C98),C89,O$22)</f>
        <v/>
      </c>
      <c r="P98" s="736" t="str">
        <f t="shared" ca="1" si="46"/>
        <v/>
      </c>
      <c r="Q98" s="693" t="str">
        <f ca="1">INDEX(INDIRECT("assessor"&amp;$C98),C89,Q$22)</f>
        <v/>
      </c>
      <c r="R98" s="736" t="str">
        <f t="shared" ca="1" si="47"/>
        <v/>
      </c>
      <c r="S98" s="31"/>
      <c r="T98" s="29"/>
      <c r="U98" s="29"/>
      <c r="V98" s="29"/>
      <c r="W98" s="29"/>
    </row>
    <row r="99" spans="2:23" ht="15" customHeight="1">
      <c r="B99" s="34"/>
      <c r="C99" s="531"/>
      <c r="D99" s="277"/>
      <c r="E99" s="277"/>
      <c r="F99" s="277"/>
      <c r="G99" s="364"/>
      <c r="H99" s="364"/>
      <c r="I99" s="364"/>
      <c r="J99" s="364"/>
      <c r="K99" s="364"/>
      <c r="L99" s="364"/>
      <c r="M99" s="364"/>
      <c r="N99" s="364"/>
      <c r="O99" s="364"/>
      <c r="P99" s="364"/>
      <c r="Q99" s="364"/>
      <c r="R99" s="364"/>
      <c r="S99" s="36"/>
      <c r="T99" s="29"/>
      <c r="U99" s="29"/>
      <c r="V99" s="29"/>
      <c r="W99" s="29"/>
    </row>
    <row r="100" spans="2:23" ht="15" customHeight="1">
      <c r="B100" s="353"/>
      <c r="C100" s="530">
        <v>6</v>
      </c>
      <c r="D100" s="532"/>
      <c r="E100" s="533"/>
      <c r="F100" s="533"/>
      <c r="G100" s="1104" t="s">
        <v>176</v>
      </c>
      <c r="H100" s="1104"/>
      <c r="I100" s="1104"/>
      <c r="J100" s="1104"/>
      <c r="K100" s="1104"/>
      <c r="L100" s="1104"/>
      <c r="M100" s="1104"/>
      <c r="N100" s="1104"/>
      <c r="O100" s="1104"/>
      <c r="P100" s="1104"/>
      <c r="Q100" s="1104"/>
      <c r="R100" s="1104"/>
      <c r="S100" s="354"/>
      <c r="T100" s="29"/>
      <c r="U100" s="29"/>
      <c r="V100" s="29"/>
      <c r="W100" s="29"/>
    </row>
    <row r="101" spans="2:23" ht="15" customHeight="1">
      <c r="B101" s="353"/>
      <c r="C101" s="530"/>
      <c r="D101" s="40" t="s">
        <v>198</v>
      </c>
      <c r="E101" s="97"/>
      <c r="F101" s="97"/>
      <c r="G101" s="368" t="str">
        <f t="shared" ref="G101:Q101" ca="1" si="49">IFERROR(AVERAGEIF(G102:G109,"&lt;&gt;"""),"")</f>
        <v/>
      </c>
      <c r="H101" s="735" t="str">
        <f t="shared" ref="H101:H109" ca="1" si="50">IF(G101=MAX($G101,$I101,$K101,$M101,$O101,$Q101),1,"")</f>
        <v/>
      </c>
      <c r="I101" s="368" t="str">
        <f t="shared" ca="1" si="49"/>
        <v/>
      </c>
      <c r="J101" s="735" t="str">
        <f t="shared" ref="J101:J109" ca="1" si="51">IF(I101=MAX($G101,$I101,$K101,$M101,$O101,$Q101),1,"")</f>
        <v/>
      </c>
      <c r="K101" s="368" t="str">
        <f t="shared" ca="1" si="49"/>
        <v/>
      </c>
      <c r="L101" s="735" t="str">
        <f t="shared" ref="L101:L109" ca="1" si="52">IF(K101=MAX($G101,$I101,$K101,$M101,$O101,$Q101),1,"")</f>
        <v/>
      </c>
      <c r="M101" s="368" t="str">
        <f t="shared" ca="1" si="49"/>
        <v/>
      </c>
      <c r="N101" s="735" t="str">
        <f t="shared" ref="N101:N109" ca="1" si="53">IF(M101=MAX($G101,$I101,$K101,$M101,$O101,$Q101),1,"")</f>
        <v/>
      </c>
      <c r="O101" s="368" t="str">
        <f t="shared" ca="1" si="49"/>
        <v/>
      </c>
      <c r="P101" s="735" t="str">
        <f t="shared" ref="P101:P109" ca="1" si="54">IF(O101=MAX($G101,$I101,$K101,$M101,$O101,$Q101),1,"")</f>
        <v/>
      </c>
      <c r="Q101" s="368" t="str">
        <f t="shared" ca="1" si="49"/>
        <v/>
      </c>
      <c r="R101" s="735" t="str">
        <f t="shared" ref="R101:R109" ca="1" si="55">IF(Q101=MAX($G101,$I101,$K101,$M101,$O101,$Q101),1,"")</f>
        <v/>
      </c>
      <c r="S101" s="354"/>
      <c r="T101" s="29"/>
      <c r="U101" s="29"/>
      <c r="V101" s="29"/>
      <c r="W101" s="29"/>
    </row>
    <row r="102" spans="2:23" ht="15" customHeight="1">
      <c r="B102" s="33"/>
      <c r="C102" s="530">
        <v>1</v>
      </c>
      <c r="D102" s="40" t="s">
        <v>162</v>
      </c>
      <c r="E102" s="29"/>
      <c r="F102" s="355" t="str">
        <f>F91</f>
        <v/>
      </c>
      <c r="G102" s="693" t="str">
        <f ca="1">INDEX(INDIRECT("assessor"&amp;$C102),C100,G$22)</f>
        <v/>
      </c>
      <c r="H102" s="736" t="str">
        <f t="shared" ca="1" si="50"/>
        <v/>
      </c>
      <c r="I102" s="693" t="str">
        <f ca="1">INDEX(INDIRECT("assessor"&amp;$C102),C100,I$22)</f>
        <v/>
      </c>
      <c r="J102" s="736" t="str">
        <f t="shared" ca="1" si="51"/>
        <v/>
      </c>
      <c r="K102" s="693" t="str">
        <f ca="1">INDEX(INDIRECT("assessor"&amp;$C102),C100,K$22)</f>
        <v/>
      </c>
      <c r="L102" s="736" t="str">
        <f t="shared" ca="1" si="52"/>
        <v/>
      </c>
      <c r="M102" s="693" t="str">
        <f ca="1">INDEX(INDIRECT("assessor"&amp;$C102),C100,M$22)</f>
        <v/>
      </c>
      <c r="N102" s="736" t="str">
        <f t="shared" ca="1" si="53"/>
        <v/>
      </c>
      <c r="O102" s="693" t="str">
        <f ca="1">INDEX(INDIRECT("assessor"&amp;$C102),C100,O$22)</f>
        <v/>
      </c>
      <c r="P102" s="736" t="str">
        <f t="shared" ca="1" si="54"/>
        <v/>
      </c>
      <c r="Q102" s="693" t="str">
        <f ca="1">INDEX(INDIRECT("assessor"&amp;$C102),C100,Q$22)</f>
        <v/>
      </c>
      <c r="R102" s="736" t="str">
        <f t="shared" ca="1" si="55"/>
        <v/>
      </c>
      <c r="S102" s="31"/>
      <c r="T102" s="29"/>
      <c r="U102" s="29"/>
      <c r="V102" s="29"/>
      <c r="W102" s="29"/>
    </row>
    <row r="103" spans="2:23" ht="15" customHeight="1">
      <c r="B103" s="33"/>
      <c r="C103" s="530">
        <v>2</v>
      </c>
      <c r="D103" s="40" t="s">
        <v>163</v>
      </c>
      <c r="E103" s="29"/>
      <c r="F103" s="355" t="str">
        <f t="shared" ref="F103:F109" si="56">F92</f>
        <v/>
      </c>
      <c r="G103" s="693" t="str">
        <f ca="1">INDEX(INDIRECT("assessor"&amp;$C103),C100,G$22)</f>
        <v/>
      </c>
      <c r="H103" s="736" t="str">
        <f t="shared" ca="1" si="50"/>
        <v/>
      </c>
      <c r="I103" s="693" t="str">
        <f ca="1">INDEX(INDIRECT("assessor"&amp;$C103),C100,I$22)</f>
        <v/>
      </c>
      <c r="J103" s="736" t="str">
        <f t="shared" ca="1" si="51"/>
        <v/>
      </c>
      <c r="K103" s="693" t="str">
        <f ca="1">INDEX(INDIRECT("assessor"&amp;$C103),C100,K$22)</f>
        <v/>
      </c>
      <c r="L103" s="736" t="str">
        <f t="shared" ca="1" si="52"/>
        <v/>
      </c>
      <c r="M103" s="693" t="str">
        <f ca="1">INDEX(INDIRECT("assessor"&amp;$C103),C100,M$22)</f>
        <v/>
      </c>
      <c r="N103" s="736" t="str">
        <f t="shared" ca="1" si="53"/>
        <v/>
      </c>
      <c r="O103" s="693" t="str">
        <f ca="1">INDEX(INDIRECT("assessor"&amp;$C103),C100,O$22)</f>
        <v/>
      </c>
      <c r="P103" s="736" t="str">
        <f t="shared" ca="1" si="54"/>
        <v/>
      </c>
      <c r="Q103" s="693" t="str">
        <f ca="1">INDEX(INDIRECT("assessor"&amp;$C103),C100,Q$22)</f>
        <v/>
      </c>
      <c r="R103" s="736" t="str">
        <f t="shared" ca="1" si="55"/>
        <v/>
      </c>
      <c r="S103" s="31"/>
      <c r="T103" s="29"/>
      <c r="U103" s="29"/>
      <c r="V103" s="29"/>
      <c r="W103" s="29"/>
    </row>
    <row r="104" spans="2:23" ht="15" customHeight="1">
      <c r="B104" s="33"/>
      <c r="C104" s="530">
        <v>3</v>
      </c>
      <c r="D104" s="40" t="s">
        <v>164</v>
      </c>
      <c r="E104" s="29"/>
      <c r="F104" s="355" t="str">
        <f t="shared" si="56"/>
        <v/>
      </c>
      <c r="G104" s="693" t="str">
        <f ca="1">INDEX(INDIRECT("assessor"&amp;$C104),C100,G$22)</f>
        <v/>
      </c>
      <c r="H104" s="736" t="str">
        <f t="shared" ca="1" si="50"/>
        <v/>
      </c>
      <c r="I104" s="693" t="str">
        <f ca="1">INDEX(INDIRECT("assessor"&amp;$C104),C100,I$22)</f>
        <v/>
      </c>
      <c r="J104" s="736" t="str">
        <f t="shared" ca="1" si="51"/>
        <v/>
      </c>
      <c r="K104" s="693" t="str">
        <f ca="1">INDEX(INDIRECT("assessor"&amp;$C104),C100,K$22)</f>
        <v/>
      </c>
      <c r="L104" s="736" t="str">
        <f t="shared" ca="1" si="52"/>
        <v/>
      </c>
      <c r="M104" s="693" t="str">
        <f ca="1">INDEX(INDIRECT("assessor"&amp;$C104),C100,M$22)</f>
        <v/>
      </c>
      <c r="N104" s="736" t="str">
        <f t="shared" ca="1" si="53"/>
        <v/>
      </c>
      <c r="O104" s="693" t="str">
        <f ca="1">INDEX(INDIRECT("assessor"&amp;$C104),C100,O$22)</f>
        <v/>
      </c>
      <c r="P104" s="736" t="str">
        <f t="shared" ca="1" si="54"/>
        <v/>
      </c>
      <c r="Q104" s="693" t="str">
        <f ca="1">INDEX(INDIRECT("assessor"&amp;$C104),C100,Q$22)</f>
        <v/>
      </c>
      <c r="R104" s="736" t="str">
        <f t="shared" ca="1" si="55"/>
        <v/>
      </c>
      <c r="S104" s="31"/>
      <c r="T104" s="29"/>
      <c r="U104" s="29"/>
      <c r="V104" s="29"/>
      <c r="W104" s="29"/>
    </row>
    <row r="105" spans="2:23" ht="15" customHeight="1">
      <c r="B105" s="33"/>
      <c r="C105" s="530">
        <v>4</v>
      </c>
      <c r="D105" s="40" t="s">
        <v>165</v>
      </c>
      <c r="E105" s="29"/>
      <c r="F105" s="355" t="str">
        <f t="shared" si="56"/>
        <v/>
      </c>
      <c r="G105" s="693" t="str">
        <f ca="1">INDEX(INDIRECT("assessor"&amp;$C105),C100,G$22)</f>
        <v/>
      </c>
      <c r="H105" s="736" t="str">
        <f t="shared" ca="1" si="50"/>
        <v/>
      </c>
      <c r="I105" s="693" t="str">
        <f ca="1">INDEX(INDIRECT("assessor"&amp;$C105),C100,I$22)</f>
        <v/>
      </c>
      <c r="J105" s="736" t="str">
        <f t="shared" ca="1" si="51"/>
        <v/>
      </c>
      <c r="K105" s="693" t="str">
        <f ca="1">INDEX(INDIRECT("assessor"&amp;$C105),C100,K$22)</f>
        <v/>
      </c>
      <c r="L105" s="736" t="str">
        <f t="shared" ca="1" si="52"/>
        <v/>
      </c>
      <c r="M105" s="693" t="str">
        <f ca="1">INDEX(INDIRECT("assessor"&amp;$C105),C100,M$22)</f>
        <v/>
      </c>
      <c r="N105" s="736" t="str">
        <f t="shared" ca="1" si="53"/>
        <v/>
      </c>
      <c r="O105" s="693" t="str">
        <f ca="1">INDEX(INDIRECT("assessor"&amp;$C105),C100,O$22)</f>
        <v/>
      </c>
      <c r="P105" s="736" t="str">
        <f t="shared" ca="1" si="54"/>
        <v/>
      </c>
      <c r="Q105" s="693" t="str">
        <f ca="1">INDEX(INDIRECT("assessor"&amp;$C105),C100,Q$22)</f>
        <v/>
      </c>
      <c r="R105" s="736" t="str">
        <f t="shared" ca="1" si="55"/>
        <v/>
      </c>
      <c r="S105" s="31"/>
      <c r="T105" s="29"/>
      <c r="U105" s="29"/>
      <c r="V105" s="29"/>
      <c r="W105" s="29"/>
    </row>
    <row r="106" spans="2:23" ht="15" customHeight="1">
      <c r="B106" s="33"/>
      <c r="C106" s="530">
        <v>5</v>
      </c>
      <c r="D106" s="40" t="s">
        <v>166</v>
      </c>
      <c r="E106" s="26"/>
      <c r="F106" s="355" t="str">
        <f t="shared" si="56"/>
        <v/>
      </c>
      <c r="G106" s="693" t="str">
        <f ca="1">INDEX(INDIRECT("assessor"&amp;$C106),C100,G$22)</f>
        <v/>
      </c>
      <c r="H106" s="736" t="str">
        <f t="shared" ca="1" si="50"/>
        <v/>
      </c>
      <c r="I106" s="693" t="str">
        <f ca="1">INDEX(INDIRECT("assessor"&amp;$C106),C100,I$22)</f>
        <v/>
      </c>
      <c r="J106" s="736" t="str">
        <f t="shared" ca="1" si="51"/>
        <v/>
      </c>
      <c r="K106" s="693" t="str">
        <f ca="1">INDEX(INDIRECT("assessor"&amp;$C106),C100,K$22)</f>
        <v/>
      </c>
      <c r="L106" s="736" t="str">
        <f t="shared" ca="1" si="52"/>
        <v/>
      </c>
      <c r="M106" s="693" t="str">
        <f ca="1">INDEX(INDIRECT("assessor"&amp;$C106),C100,M$22)</f>
        <v/>
      </c>
      <c r="N106" s="736" t="str">
        <f t="shared" ca="1" si="53"/>
        <v/>
      </c>
      <c r="O106" s="693" t="str">
        <f ca="1">INDEX(INDIRECT("assessor"&amp;$C106),C100,O$22)</f>
        <v/>
      </c>
      <c r="P106" s="736" t="str">
        <f t="shared" ca="1" si="54"/>
        <v/>
      </c>
      <c r="Q106" s="693" t="str">
        <f ca="1">INDEX(INDIRECT("assessor"&amp;$C106),C100,Q$22)</f>
        <v/>
      </c>
      <c r="R106" s="736" t="str">
        <f t="shared" ca="1" si="55"/>
        <v/>
      </c>
      <c r="S106" s="31"/>
      <c r="T106" s="29"/>
      <c r="U106" s="29"/>
      <c r="V106" s="29"/>
      <c r="W106" s="29"/>
    </row>
    <row r="107" spans="2:23" ht="15" customHeight="1">
      <c r="B107" s="33"/>
      <c r="C107" s="530">
        <v>6</v>
      </c>
      <c r="D107" s="40" t="s">
        <v>167</v>
      </c>
      <c r="E107" s="26"/>
      <c r="F107" s="355" t="str">
        <f t="shared" si="56"/>
        <v/>
      </c>
      <c r="G107" s="693" t="str">
        <f ca="1">INDEX(INDIRECT("assessor"&amp;$C107),C100,G$22)</f>
        <v/>
      </c>
      <c r="H107" s="736" t="str">
        <f t="shared" ca="1" si="50"/>
        <v/>
      </c>
      <c r="I107" s="693" t="str">
        <f ca="1">INDEX(INDIRECT("assessor"&amp;$C107),C100,I$22)</f>
        <v/>
      </c>
      <c r="J107" s="736" t="str">
        <f t="shared" ca="1" si="51"/>
        <v/>
      </c>
      <c r="K107" s="693" t="str">
        <f ca="1">INDEX(INDIRECT("assessor"&amp;$C107),C100,K$22)</f>
        <v/>
      </c>
      <c r="L107" s="736" t="str">
        <f t="shared" ca="1" si="52"/>
        <v/>
      </c>
      <c r="M107" s="693" t="str">
        <f ca="1">INDEX(INDIRECT("assessor"&amp;$C107),C100,M$22)</f>
        <v/>
      </c>
      <c r="N107" s="736" t="str">
        <f t="shared" ca="1" si="53"/>
        <v/>
      </c>
      <c r="O107" s="693" t="str">
        <f ca="1">INDEX(INDIRECT("assessor"&amp;$C107),C100,O$22)</f>
        <v/>
      </c>
      <c r="P107" s="736" t="str">
        <f t="shared" ca="1" si="54"/>
        <v/>
      </c>
      <c r="Q107" s="693" t="str">
        <f ca="1">INDEX(INDIRECT("assessor"&amp;$C107),C100,Q$22)</f>
        <v/>
      </c>
      <c r="R107" s="736" t="str">
        <f t="shared" ca="1" si="55"/>
        <v/>
      </c>
      <c r="S107" s="31"/>
      <c r="T107" s="29"/>
      <c r="U107" s="29"/>
      <c r="V107" s="29"/>
      <c r="W107" s="29"/>
    </row>
    <row r="108" spans="2:23" ht="15" customHeight="1">
      <c r="B108" s="33"/>
      <c r="C108" s="530">
        <v>7</v>
      </c>
      <c r="D108" s="40" t="s">
        <v>168</v>
      </c>
      <c r="E108" s="26"/>
      <c r="F108" s="355" t="str">
        <f t="shared" si="56"/>
        <v/>
      </c>
      <c r="G108" s="693" t="str">
        <f ca="1">INDEX(INDIRECT("assessor"&amp;$C108),C100,G$22)</f>
        <v/>
      </c>
      <c r="H108" s="736" t="str">
        <f t="shared" ca="1" si="50"/>
        <v/>
      </c>
      <c r="I108" s="693" t="str">
        <f ca="1">INDEX(INDIRECT("assessor"&amp;$C108),C100,I$22)</f>
        <v/>
      </c>
      <c r="J108" s="736" t="str">
        <f t="shared" ca="1" si="51"/>
        <v/>
      </c>
      <c r="K108" s="693" t="str">
        <f ca="1">INDEX(INDIRECT("assessor"&amp;$C108),C100,K$22)</f>
        <v/>
      </c>
      <c r="L108" s="736" t="str">
        <f t="shared" ca="1" si="52"/>
        <v/>
      </c>
      <c r="M108" s="693" t="str">
        <f ca="1">INDEX(INDIRECT("assessor"&amp;$C108),C100,M$22)</f>
        <v/>
      </c>
      <c r="N108" s="736" t="str">
        <f t="shared" ca="1" si="53"/>
        <v/>
      </c>
      <c r="O108" s="693" t="str">
        <f ca="1">INDEX(INDIRECT("assessor"&amp;$C108),C100,O$22)</f>
        <v/>
      </c>
      <c r="P108" s="736" t="str">
        <f t="shared" ca="1" si="54"/>
        <v/>
      </c>
      <c r="Q108" s="693" t="str">
        <f ca="1">INDEX(INDIRECT("assessor"&amp;$C108),C100,Q$22)</f>
        <v/>
      </c>
      <c r="R108" s="736" t="str">
        <f t="shared" ca="1" si="55"/>
        <v/>
      </c>
      <c r="S108" s="31"/>
      <c r="T108" s="29"/>
      <c r="U108" s="29"/>
      <c r="V108" s="29"/>
      <c r="W108" s="29"/>
    </row>
    <row r="109" spans="2:23" ht="15" customHeight="1">
      <c r="B109" s="33"/>
      <c r="C109" s="530">
        <v>8</v>
      </c>
      <c r="D109" s="40" t="s">
        <v>169</v>
      </c>
      <c r="E109" s="26"/>
      <c r="F109" s="355" t="str">
        <f t="shared" si="56"/>
        <v/>
      </c>
      <c r="G109" s="693" t="str">
        <f ca="1">INDEX(INDIRECT("assessor"&amp;$C109),C100,G$22)</f>
        <v/>
      </c>
      <c r="H109" s="736" t="str">
        <f t="shared" ca="1" si="50"/>
        <v/>
      </c>
      <c r="I109" s="693" t="str">
        <f ca="1">INDEX(INDIRECT("assessor"&amp;$C109),C100,I$22)</f>
        <v/>
      </c>
      <c r="J109" s="736" t="str">
        <f t="shared" ca="1" si="51"/>
        <v/>
      </c>
      <c r="K109" s="693" t="str">
        <f ca="1">INDEX(INDIRECT("assessor"&amp;$C109),C100,K$22)</f>
        <v/>
      </c>
      <c r="L109" s="736" t="str">
        <f t="shared" ca="1" si="52"/>
        <v/>
      </c>
      <c r="M109" s="693" t="str">
        <f ca="1">INDEX(INDIRECT("assessor"&amp;$C109),C100,M$22)</f>
        <v/>
      </c>
      <c r="N109" s="736" t="str">
        <f t="shared" ca="1" si="53"/>
        <v/>
      </c>
      <c r="O109" s="693" t="str">
        <f ca="1">INDEX(INDIRECT("assessor"&amp;$C109),C100,O$22)</f>
        <v/>
      </c>
      <c r="P109" s="736" t="str">
        <f t="shared" ca="1" si="54"/>
        <v/>
      </c>
      <c r="Q109" s="693" t="str">
        <f ca="1">INDEX(INDIRECT("assessor"&amp;$C109),C100,Q$22)</f>
        <v/>
      </c>
      <c r="R109" s="736" t="str">
        <f t="shared" ca="1" si="55"/>
        <v/>
      </c>
      <c r="S109" s="31"/>
      <c r="T109" s="29"/>
      <c r="U109" s="29"/>
      <c r="V109" s="29"/>
      <c r="W109" s="29"/>
    </row>
    <row r="110" spans="2:23" ht="15" customHeight="1" thickBot="1">
      <c r="B110" s="37"/>
      <c r="C110" s="38"/>
      <c r="D110" s="38"/>
      <c r="E110" s="38"/>
      <c r="F110" s="38"/>
      <c r="G110" s="38"/>
      <c r="H110" s="38"/>
      <c r="I110" s="38"/>
      <c r="J110" s="38"/>
      <c r="K110" s="38"/>
      <c r="L110" s="38"/>
      <c r="M110" s="38"/>
      <c r="N110" s="38"/>
      <c r="O110" s="38"/>
      <c r="P110" s="38"/>
      <c r="Q110" s="38"/>
      <c r="R110" s="38"/>
      <c r="S110" s="39"/>
    </row>
    <row r="111" spans="2:23" ht="15" customHeight="1"/>
    <row r="112" spans="2:23" ht="15" hidden="1" customHeight="1"/>
    <row r="113" ht="15" customHeight="1"/>
    <row r="114" ht="0" hidden="1" customHeight="1"/>
    <row r="115" ht="0" hidden="1" customHeight="1"/>
    <row r="116" ht="0" hidden="1" customHeight="1"/>
    <row r="117" ht="0" hidden="1" customHeight="1"/>
    <row r="118" ht="0" hidden="1" customHeight="1"/>
    <row r="119" ht="0" hidden="1" customHeight="1"/>
  </sheetData>
  <mergeCells count="9">
    <mergeCell ref="G100:R100"/>
    <mergeCell ref="B2:S2"/>
    <mergeCell ref="G34:R34"/>
    <mergeCell ref="G23:R23"/>
    <mergeCell ref="G45:R45"/>
    <mergeCell ref="G56:R56"/>
    <mergeCell ref="G67:R67"/>
    <mergeCell ref="G78:R78"/>
    <mergeCell ref="G89:R89"/>
  </mergeCells>
  <phoneticPr fontId="56" type="noConversion"/>
  <conditionalFormatting sqref="G25:R32">
    <cfRule type="cellIs" dxfId="386" priority="520" operator="equal">
      <formula>1</formula>
    </cfRule>
  </conditionalFormatting>
  <conditionalFormatting sqref="G24">
    <cfRule type="expression" dxfId="385" priority="399">
      <formula>H24=1</formula>
    </cfRule>
  </conditionalFormatting>
  <conditionalFormatting sqref="I24">
    <cfRule type="expression" dxfId="384" priority="398">
      <formula>J24=1</formula>
    </cfRule>
  </conditionalFormatting>
  <conditionalFormatting sqref="K24">
    <cfRule type="expression" dxfId="383" priority="397">
      <formula>L24=1</formula>
    </cfRule>
  </conditionalFormatting>
  <conditionalFormatting sqref="M24">
    <cfRule type="expression" dxfId="382" priority="396">
      <formula>N24=1</formula>
    </cfRule>
  </conditionalFormatting>
  <conditionalFormatting sqref="O24">
    <cfRule type="expression" dxfId="381" priority="395">
      <formula>P24=1</formula>
    </cfRule>
  </conditionalFormatting>
  <conditionalFormatting sqref="Q24">
    <cfRule type="expression" dxfId="380" priority="394">
      <formula>R24=1</formula>
    </cfRule>
  </conditionalFormatting>
  <conditionalFormatting sqref="G35">
    <cfRule type="expression" dxfId="379" priority="393">
      <formula>H35=1</formula>
    </cfRule>
  </conditionalFormatting>
  <conditionalFormatting sqref="I35">
    <cfRule type="expression" dxfId="378" priority="392">
      <formula>J35=1</formula>
    </cfRule>
  </conditionalFormatting>
  <conditionalFormatting sqref="K35">
    <cfRule type="expression" dxfId="377" priority="391">
      <formula>L35=1</formula>
    </cfRule>
  </conditionalFormatting>
  <conditionalFormatting sqref="M35">
    <cfRule type="expression" dxfId="376" priority="390">
      <formula>N35=1</formula>
    </cfRule>
  </conditionalFormatting>
  <conditionalFormatting sqref="O35">
    <cfRule type="expression" dxfId="375" priority="389">
      <formula>P35=1</formula>
    </cfRule>
  </conditionalFormatting>
  <conditionalFormatting sqref="G46">
    <cfRule type="expression" dxfId="374" priority="387">
      <formula>H46=1</formula>
    </cfRule>
  </conditionalFormatting>
  <conditionalFormatting sqref="I46">
    <cfRule type="expression" dxfId="373" priority="386">
      <formula>J46=1</formula>
    </cfRule>
  </conditionalFormatting>
  <conditionalFormatting sqref="K46">
    <cfRule type="expression" dxfId="372" priority="385">
      <formula>L46=1</formula>
    </cfRule>
  </conditionalFormatting>
  <conditionalFormatting sqref="M46">
    <cfRule type="expression" dxfId="371" priority="384">
      <formula>N46=1</formula>
    </cfRule>
  </conditionalFormatting>
  <conditionalFormatting sqref="O46">
    <cfRule type="expression" dxfId="370" priority="383">
      <formula>P46=1</formula>
    </cfRule>
  </conditionalFormatting>
  <conditionalFormatting sqref="Q46">
    <cfRule type="expression" dxfId="369" priority="382">
      <formula>R46=1</formula>
    </cfRule>
  </conditionalFormatting>
  <conditionalFormatting sqref="G57">
    <cfRule type="expression" dxfId="368" priority="381">
      <formula>H57=1</formula>
    </cfRule>
  </conditionalFormatting>
  <conditionalFormatting sqref="I57">
    <cfRule type="expression" dxfId="367" priority="380">
      <formula>J57=1</formula>
    </cfRule>
  </conditionalFormatting>
  <conditionalFormatting sqref="K57">
    <cfRule type="expression" dxfId="366" priority="379">
      <formula>L57=1</formula>
    </cfRule>
  </conditionalFormatting>
  <conditionalFormatting sqref="M57">
    <cfRule type="expression" dxfId="365" priority="378">
      <formula>N57=1</formula>
    </cfRule>
  </conditionalFormatting>
  <conditionalFormatting sqref="O57">
    <cfRule type="expression" dxfId="364" priority="377">
      <formula>P57=1</formula>
    </cfRule>
  </conditionalFormatting>
  <conditionalFormatting sqref="Q57">
    <cfRule type="expression" dxfId="363" priority="376">
      <formula>R57=1</formula>
    </cfRule>
  </conditionalFormatting>
  <conditionalFormatting sqref="G68">
    <cfRule type="expression" dxfId="362" priority="375">
      <formula>H68=1</formula>
    </cfRule>
  </conditionalFormatting>
  <conditionalFormatting sqref="I68">
    <cfRule type="expression" dxfId="361" priority="374">
      <formula>J68=1</formula>
    </cfRule>
  </conditionalFormatting>
  <conditionalFormatting sqref="K68">
    <cfRule type="expression" dxfId="360" priority="373">
      <formula>L68=1</formula>
    </cfRule>
  </conditionalFormatting>
  <conditionalFormatting sqref="M68">
    <cfRule type="expression" dxfId="359" priority="372">
      <formula>N68=1</formula>
    </cfRule>
  </conditionalFormatting>
  <conditionalFormatting sqref="O68">
    <cfRule type="expression" dxfId="358" priority="371">
      <formula>P68=1</formula>
    </cfRule>
  </conditionalFormatting>
  <conditionalFormatting sqref="Q68">
    <cfRule type="expression" dxfId="357" priority="370">
      <formula>R68=1</formula>
    </cfRule>
  </conditionalFormatting>
  <conditionalFormatting sqref="G79">
    <cfRule type="expression" dxfId="356" priority="369">
      <formula>H79=1</formula>
    </cfRule>
  </conditionalFormatting>
  <conditionalFormatting sqref="I79">
    <cfRule type="expression" dxfId="355" priority="368">
      <formula>J79=1</formula>
    </cfRule>
  </conditionalFormatting>
  <conditionalFormatting sqref="K79">
    <cfRule type="expression" dxfId="354" priority="367">
      <formula>L79=1</formula>
    </cfRule>
  </conditionalFormatting>
  <conditionalFormatting sqref="M79">
    <cfRule type="expression" dxfId="353" priority="366">
      <formula>N79=1</formula>
    </cfRule>
  </conditionalFormatting>
  <conditionalFormatting sqref="O79">
    <cfRule type="expression" dxfId="352" priority="365">
      <formula>P79=1</formula>
    </cfRule>
  </conditionalFormatting>
  <conditionalFormatting sqref="Q79">
    <cfRule type="expression" dxfId="351" priority="364">
      <formula>R79=1</formula>
    </cfRule>
  </conditionalFormatting>
  <conditionalFormatting sqref="G90">
    <cfRule type="expression" dxfId="350" priority="363">
      <formula>H90=1</formula>
    </cfRule>
  </conditionalFormatting>
  <conditionalFormatting sqref="I90">
    <cfRule type="expression" dxfId="349" priority="362">
      <formula>J90=1</formula>
    </cfRule>
  </conditionalFormatting>
  <conditionalFormatting sqref="K90">
    <cfRule type="expression" dxfId="348" priority="361">
      <formula>L90=1</formula>
    </cfRule>
  </conditionalFormatting>
  <conditionalFormatting sqref="M90">
    <cfRule type="expression" dxfId="347" priority="360">
      <formula>N90=1</formula>
    </cfRule>
  </conditionalFormatting>
  <conditionalFormatting sqref="O90">
    <cfRule type="expression" dxfId="346" priority="359">
      <formula>P90=1</formula>
    </cfRule>
  </conditionalFormatting>
  <conditionalFormatting sqref="Q90">
    <cfRule type="expression" dxfId="345" priority="358">
      <formula>R90=1</formula>
    </cfRule>
  </conditionalFormatting>
  <conditionalFormatting sqref="G101">
    <cfRule type="expression" dxfId="344" priority="357">
      <formula>H101=1</formula>
    </cfRule>
  </conditionalFormatting>
  <conditionalFormatting sqref="I101">
    <cfRule type="expression" dxfId="343" priority="356">
      <formula>J101=1</formula>
    </cfRule>
  </conditionalFormatting>
  <conditionalFormatting sqref="K101">
    <cfRule type="expression" dxfId="342" priority="355">
      <formula>L101=1</formula>
    </cfRule>
  </conditionalFormatting>
  <conditionalFormatting sqref="M101">
    <cfRule type="expression" dxfId="341" priority="354">
      <formula>N101=1</formula>
    </cfRule>
  </conditionalFormatting>
  <conditionalFormatting sqref="O101">
    <cfRule type="expression" dxfId="340" priority="353">
      <formula>P101=1</formula>
    </cfRule>
  </conditionalFormatting>
  <conditionalFormatting sqref="Q101">
    <cfRule type="expression" dxfId="339" priority="352">
      <formula>R101=1</formula>
    </cfRule>
  </conditionalFormatting>
  <conditionalFormatting sqref="G36">
    <cfRule type="expression" dxfId="338" priority="351">
      <formula>H36=1</formula>
    </cfRule>
  </conditionalFormatting>
  <conditionalFormatting sqref="G37">
    <cfRule type="expression" dxfId="337" priority="350">
      <formula>H37=1</formula>
    </cfRule>
  </conditionalFormatting>
  <conditionalFormatting sqref="G38">
    <cfRule type="expression" dxfId="336" priority="349">
      <formula>H38=1</formula>
    </cfRule>
  </conditionalFormatting>
  <conditionalFormatting sqref="G39">
    <cfRule type="expression" dxfId="335" priority="348">
      <formula>H39=1</formula>
    </cfRule>
  </conditionalFormatting>
  <conditionalFormatting sqref="G40">
    <cfRule type="expression" dxfId="334" priority="347">
      <formula>H40=1</formula>
    </cfRule>
  </conditionalFormatting>
  <conditionalFormatting sqref="G41">
    <cfRule type="expression" dxfId="333" priority="346">
      <formula>H41=1</formula>
    </cfRule>
  </conditionalFormatting>
  <conditionalFormatting sqref="G42">
    <cfRule type="expression" dxfId="332" priority="345">
      <formula>H42=1</formula>
    </cfRule>
  </conditionalFormatting>
  <conditionalFormatting sqref="I36">
    <cfRule type="expression" dxfId="331" priority="344">
      <formula>J36=1</formula>
    </cfRule>
  </conditionalFormatting>
  <conditionalFormatting sqref="I37">
    <cfRule type="expression" dxfId="330" priority="343">
      <formula>J37=1</formula>
    </cfRule>
  </conditionalFormatting>
  <conditionalFormatting sqref="I38">
    <cfRule type="expression" dxfId="329" priority="342">
      <formula>J38=1</formula>
    </cfRule>
  </conditionalFormatting>
  <conditionalFormatting sqref="I39">
    <cfRule type="expression" dxfId="328" priority="341">
      <formula>J39=1</formula>
    </cfRule>
  </conditionalFormatting>
  <conditionalFormatting sqref="I40">
    <cfRule type="expression" dxfId="327" priority="340">
      <formula>J40=1</formula>
    </cfRule>
  </conditionalFormatting>
  <conditionalFormatting sqref="I41">
    <cfRule type="expression" dxfId="326" priority="339">
      <formula>J41=1</formula>
    </cfRule>
  </conditionalFormatting>
  <conditionalFormatting sqref="I42">
    <cfRule type="expression" dxfId="325" priority="338">
      <formula>J42=1</formula>
    </cfRule>
  </conditionalFormatting>
  <conditionalFormatting sqref="I43">
    <cfRule type="expression" dxfId="324" priority="337">
      <formula>J43=1</formula>
    </cfRule>
  </conditionalFormatting>
  <conditionalFormatting sqref="G43">
    <cfRule type="expression" dxfId="323" priority="336">
      <formula>H43=1</formula>
    </cfRule>
  </conditionalFormatting>
  <conditionalFormatting sqref="K36">
    <cfRule type="expression" dxfId="322" priority="335">
      <formula>L36=1</formula>
    </cfRule>
  </conditionalFormatting>
  <conditionalFormatting sqref="K37">
    <cfRule type="expression" dxfId="321" priority="334">
      <formula>L37=1</formula>
    </cfRule>
  </conditionalFormatting>
  <conditionalFormatting sqref="K38">
    <cfRule type="expression" dxfId="320" priority="333">
      <formula>L38=1</formula>
    </cfRule>
  </conditionalFormatting>
  <conditionalFormatting sqref="K39">
    <cfRule type="expression" dxfId="319" priority="332">
      <formula>L39=1</formula>
    </cfRule>
  </conditionalFormatting>
  <conditionalFormatting sqref="K40">
    <cfRule type="expression" dxfId="318" priority="331">
      <formula>L40=1</formula>
    </cfRule>
  </conditionalFormatting>
  <conditionalFormatting sqref="K41">
    <cfRule type="expression" dxfId="317" priority="330">
      <formula>L41=1</formula>
    </cfRule>
  </conditionalFormatting>
  <conditionalFormatting sqref="K42">
    <cfRule type="expression" dxfId="316" priority="329">
      <formula>L42=1</formula>
    </cfRule>
  </conditionalFormatting>
  <conditionalFormatting sqref="K43">
    <cfRule type="expression" dxfId="315" priority="328">
      <formula>L43=1</formula>
    </cfRule>
  </conditionalFormatting>
  <conditionalFormatting sqref="M43">
    <cfRule type="expression" dxfId="314" priority="327">
      <formula>N43=1</formula>
    </cfRule>
  </conditionalFormatting>
  <conditionalFormatting sqref="M42">
    <cfRule type="expression" dxfId="313" priority="326">
      <formula>N42=1</formula>
    </cfRule>
  </conditionalFormatting>
  <conditionalFormatting sqref="M41">
    <cfRule type="expression" dxfId="312" priority="325">
      <formula>N41=1</formula>
    </cfRule>
  </conditionalFormatting>
  <conditionalFormatting sqref="M40">
    <cfRule type="expression" dxfId="311" priority="324">
      <formula>N40=1</formula>
    </cfRule>
  </conditionalFormatting>
  <conditionalFormatting sqref="M39">
    <cfRule type="expression" dxfId="310" priority="323">
      <formula>N39=1</formula>
    </cfRule>
  </conditionalFormatting>
  <conditionalFormatting sqref="M38">
    <cfRule type="expression" dxfId="309" priority="322">
      <formula>N38=1</formula>
    </cfRule>
  </conditionalFormatting>
  <conditionalFormatting sqref="M37">
    <cfRule type="expression" dxfId="308" priority="321">
      <formula>N37=1</formula>
    </cfRule>
  </conditionalFormatting>
  <conditionalFormatting sqref="M36">
    <cfRule type="expression" dxfId="307" priority="320">
      <formula>N36=1</formula>
    </cfRule>
  </conditionalFormatting>
  <conditionalFormatting sqref="O36">
    <cfRule type="expression" dxfId="306" priority="319">
      <formula>P36=1</formula>
    </cfRule>
  </conditionalFormatting>
  <conditionalFormatting sqref="O37">
    <cfRule type="expression" dxfId="305" priority="318">
      <formula>P37=1</formula>
    </cfRule>
  </conditionalFormatting>
  <conditionalFormatting sqref="O38">
    <cfRule type="expression" dxfId="304" priority="317">
      <formula>P38=1</formula>
    </cfRule>
  </conditionalFormatting>
  <conditionalFormatting sqref="O39">
    <cfRule type="expression" dxfId="303" priority="316">
      <formula>P39=1</formula>
    </cfRule>
  </conditionalFormatting>
  <conditionalFormatting sqref="O40">
    <cfRule type="expression" dxfId="302" priority="315">
      <formula>P40=1</formula>
    </cfRule>
  </conditionalFormatting>
  <conditionalFormatting sqref="O41">
    <cfRule type="expression" dxfId="301" priority="314">
      <formula>P41=1</formula>
    </cfRule>
  </conditionalFormatting>
  <conditionalFormatting sqref="O42">
    <cfRule type="expression" dxfId="300" priority="313">
      <formula>P42=1</formula>
    </cfRule>
  </conditionalFormatting>
  <conditionalFormatting sqref="O43">
    <cfRule type="expression" dxfId="299" priority="312">
      <formula>P43=1</formula>
    </cfRule>
  </conditionalFormatting>
  <conditionalFormatting sqref="P35">
    <cfRule type="expression" dxfId="298" priority="310">
      <formula>Q35=1</formula>
    </cfRule>
  </conditionalFormatting>
  <conditionalFormatting sqref="P35">
    <cfRule type="expression" dxfId="297" priority="309">
      <formula>Q35=1</formula>
    </cfRule>
  </conditionalFormatting>
  <conditionalFormatting sqref="Q35">
    <cfRule type="expression" dxfId="296" priority="308">
      <formula>R35=1</formula>
    </cfRule>
  </conditionalFormatting>
  <conditionalFormatting sqref="Q36">
    <cfRule type="expression" dxfId="295" priority="307">
      <formula>R36=1</formula>
    </cfRule>
  </conditionalFormatting>
  <conditionalFormatting sqref="Q37">
    <cfRule type="expression" dxfId="294" priority="306">
      <formula>R37=1</formula>
    </cfRule>
  </conditionalFormatting>
  <conditionalFormatting sqref="Q38">
    <cfRule type="expression" dxfId="293" priority="305">
      <formula>R38=1</formula>
    </cfRule>
  </conditionalFormatting>
  <conditionalFormatting sqref="Q39">
    <cfRule type="expression" dxfId="292" priority="304">
      <formula>R39=1</formula>
    </cfRule>
  </conditionalFormatting>
  <conditionalFormatting sqref="Q40">
    <cfRule type="expression" dxfId="291" priority="303">
      <formula>R40=1</formula>
    </cfRule>
  </conditionalFormatting>
  <conditionalFormatting sqref="Q41">
    <cfRule type="expression" dxfId="290" priority="302">
      <formula>R41=1</formula>
    </cfRule>
  </conditionalFormatting>
  <conditionalFormatting sqref="Q42">
    <cfRule type="expression" dxfId="289" priority="301">
      <formula>R42=1</formula>
    </cfRule>
  </conditionalFormatting>
  <conditionalFormatting sqref="Q43">
    <cfRule type="expression" dxfId="288" priority="300">
      <formula>R43=1</formula>
    </cfRule>
  </conditionalFormatting>
  <conditionalFormatting sqref="G54">
    <cfRule type="expression" dxfId="287" priority="299">
      <formula>H54=1</formula>
    </cfRule>
  </conditionalFormatting>
  <conditionalFormatting sqref="G53">
    <cfRule type="expression" dxfId="286" priority="298">
      <formula>H53=1</formula>
    </cfRule>
  </conditionalFormatting>
  <conditionalFormatting sqref="G52">
    <cfRule type="expression" dxfId="285" priority="297">
      <formula>H52=1</formula>
    </cfRule>
  </conditionalFormatting>
  <conditionalFormatting sqref="G51">
    <cfRule type="expression" dxfId="284" priority="296">
      <formula>H51=1</formula>
    </cfRule>
  </conditionalFormatting>
  <conditionalFormatting sqref="G50">
    <cfRule type="expression" dxfId="283" priority="295">
      <formula>H50=1</formula>
    </cfRule>
  </conditionalFormatting>
  <conditionalFormatting sqref="G49">
    <cfRule type="expression" dxfId="282" priority="294">
      <formula>H49=1</formula>
    </cfRule>
  </conditionalFormatting>
  <conditionalFormatting sqref="G48">
    <cfRule type="expression" dxfId="281" priority="293">
      <formula>H48=1</formula>
    </cfRule>
  </conditionalFormatting>
  <conditionalFormatting sqref="G47">
    <cfRule type="expression" dxfId="280" priority="292">
      <formula>H47=1</formula>
    </cfRule>
  </conditionalFormatting>
  <conditionalFormatting sqref="I47">
    <cfRule type="expression" dxfId="279" priority="291">
      <formula>J47=1</formula>
    </cfRule>
  </conditionalFormatting>
  <conditionalFormatting sqref="I48">
    <cfRule type="expression" dxfId="278" priority="290">
      <formula>J48=1</formula>
    </cfRule>
  </conditionalFormatting>
  <conditionalFormatting sqref="I49">
    <cfRule type="expression" dxfId="277" priority="289">
      <formula>J49=1</formula>
    </cfRule>
  </conditionalFormatting>
  <conditionalFormatting sqref="I50">
    <cfRule type="expression" dxfId="276" priority="288">
      <formula>J50=1</formula>
    </cfRule>
  </conditionalFormatting>
  <conditionalFormatting sqref="I51">
    <cfRule type="expression" dxfId="275" priority="287">
      <formula>J51=1</formula>
    </cfRule>
  </conditionalFormatting>
  <conditionalFormatting sqref="I52">
    <cfRule type="expression" dxfId="274" priority="286">
      <formula>J52=1</formula>
    </cfRule>
  </conditionalFormatting>
  <conditionalFormatting sqref="I53">
    <cfRule type="expression" dxfId="273" priority="285">
      <formula>J53=1</formula>
    </cfRule>
  </conditionalFormatting>
  <conditionalFormatting sqref="I54">
    <cfRule type="expression" dxfId="272" priority="284">
      <formula>J54=1</formula>
    </cfRule>
  </conditionalFormatting>
  <conditionalFormatting sqref="K54">
    <cfRule type="expression" dxfId="271" priority="283">
      <formula>L54=1</formula>
    </cfRule>
  </conditionalFormatting>
  <conditionalFormatting sqref="K53">
    <cfRule type="expression" dxfId="270" priority="282">
      <formula>L53=1</formula>
    </cfRule>
  </conditionalFormatting>
  <conditionalFormatting sqref="K52">
    <cfRule type="expression" dxfId="269" priority="281">
      <formula>L52=1</formula>
    </cfRule>
  </conditionalFormatting>
  <conditionalFormatting sqref="K51">
    <cfRule type="expression" dxfId="268" priority="280">
      <formula>L51=1</formula>
    </cfRule>
  </conditionalFormatting>
  <conditionalFormatting sqref="K50">
    <cfRule type="expression" dxfId="267" priority="279">
      <formula>L50=1</formula>
    </cfRule>
  </conditionalFormatting>
  <conditionalFormatting sqref="K49">
    <cfRule type="expression" dxfId="266" priority="278">
      <formula>L49=1</formula>
    </cfRule>
  </conditionalFormatting>
  <conditionalFormatting sqref="K48">
    <cfRule type="expression" dxfId="265" priority="277">
      <formula>L48=1</formula>
    </cfRule>
  </conditionalFormatting>
  <conditionalFormatting sqref="K47">
    <cfRule type="expression" dxfId="264" priority="276">
      <formula>L47=1</formula>
    </cfRule>
  </conditionalFormatting>
  <conditionalFormatting sqref="M47">
    <cfRule type="expression" dxfId="263" priority="275">
      <formula>N47=1</formula>
    </cfRule>
  </conditionalFormatting>
  <conditionalFormatting sqref="M48">
    <cfRule type="expression" dxfId="262" priority="274">
      <formula>N48=1</formula>
    </cfRule>
  </conditionalFormatting>
  <conditionalFormatting sqref="M49">
    <cfRule type="expression" dxfId="261" priority="273">
      <formula>N49=1</formula>
    </cfRule>
  </conditionalFormatting>
  <conditionalFormatting sqref="M50">
    <cfRule type="expression" dxfId="260" priority="272">
      <formula>N50=1</formula>
    </cfRule>
  </conditionalFormatting>
  <conditionalFormatting sqref="M51">
    <cfRule type="expression" dxfId="259" priority="271">
      <formula>N51=1</formula>
    </cfRule>
  </conditionalFormatting>
  <conditionalFormatting sqref="M52">
    <cfRule type="expression" dxfId="258" priority="270">
      <formula>N52=1</formula>
    </cfRule>
  </conditionalFormatting>
  <conditionalFormatting sqref="M53">
    <cfRule type="expression" dxfId="257" priority="269">
      <formula>N53=1</formula>
    </cfRule>
  </conditionalFormatting>
  <conditionalFormatting sqref="M54">
    <cfRule type="expression" dxfId="256" priority="268">
      <formula>N54=1</formula>
    </cfRule>
  </conditionalFormatting>
  <conditionalFormatting sqref="O54">
    <cfRule type="expression" dxfId="255" priority="267">
      <formula>P54=1</formula>
    </cfRule>
  </conditionalFormatting>
  <conditionalFormatting sqref="Q54">
    <cfRule type="expression" dxfId="254" priority="266">
      <formula>R54=1</formula>
    </cfRule>
  </conditionalFormatting>
  <conditionalFormatting sqref="Q53">
    <cfRule type="expression" dxfId="253" priority="265">
      <formula>R53=1</formula>
    </cfRule>
  </conditionalFormatting>
  <conditionalFormatting sqref="O53">
    <cfRule type="expression" dxfId="252" priority="264">
      <formula>P53=1</formula>
    </cfRule>
  </conditionalFormatting>
  <conditionalFormatting sqref="O52">
    <cfRule type="expression" dxfId="251" priority="263">
      <formula>P52=1</formula>
    </cfRule>
  </conditionalFormatting>
  <conditionalFormatting sqref="Q52">
    <cfRule type="expression" dxfId="250" priority="262">
      <formula>R52=1</formula>
    </cfRule>
  </conditionalFormatting>
  <conditionalFormatting sqref="Q51">
    <cfRule type="expression" dxfId="249" priority="261">
      <formula>R51=1</formula>
    </cfRule>
  </conditionalFormatting>
  <conditionalFormatting sqref="O51">
    <cfRule type="expression" dxfId="248" priority="260">
      <formula>P51=1</formula>
    </cfRule>
  </conditionalFormatting>
  <conditionalFormatting sqref="O50">
    <cfRule type="expression" dxfId="247" priority="259">
      <formula>P50=1</formula>
    </cfRule>
  </conditionalFormatting>
  <conditionalFormatting sqref="Q50">
    <cfRule type="expression" dxfId="246" priority="258">
      <formula>R50=1</formula>
    </cfRule>
  </conditionalFormatting>
  <conditionalFormatting sqref="Q49">
    <cfRule type="expression" dxfId="245" priority="257">
      <formula>R49=1</formula>
    </cfRule>
  </conditionalFormatting>
  <conditionalFormatting sqref="O49">
    <cfRule type="expression" dxfId="244" priority="256">
      <formula>P49=1</formula>
    </cfRule>
  </conditionalFormatting>
  <conditionalFormatting sqref="O48">
    <cfRule type="expression" dxfId="243" priority="255">
      <formula>P48=1</formula>
    </cfRule>
  </conditionalFormatting>
  <conditionalFormatting sqref="Q48">
    <cfRule type="expression" dxfId="242" priority="254">
      <formula>R48=1</formula>
    </cfRule>
  </conditionalFormatting>
  <conditionalFormatting sqref="Q47">
    <cfRule type="expression" dxfId="241" priority="253">
      <formula>R47=1</formula>
    </cfRule>
  </conditionalFormatting>
  <conditionalFormatting sqref="O47">
    <cfRule type="expression" dxfId="240" priority="252">
      <formula>P47=1</formula>
    </cfRule>
  </conditionalFormatting>
  <conditionalFormatting sqref="G58">
    <cfRule type="expression" dxfId="239" priority="251">
      <formula>H58=1</formula>
    </cfRule>
  </conditionalFormatting>
  <conditionalFormatting sqref="G59">
    <cfRule type="expression" dxfId="238" priority="250">
      <formula>H59=1</formula>
    </cfRule>
  </conditionalFormatting>
  <conditionalFormatting sqref="G60">
    <cfRule type="expression" dxfId="237" priority="249">
      <formula>H60=1</formula>
    </cfRule>
  </conditionalFormatting>
  <conditionalFormatting sqref="G61">
    <cfRule type="expression" dxfId="236" priority="248">
      <formula>H61=1</formula>
    </cfRule>
  </conditionalFormatting>
  <conditionalFormatting sqref="G62">
    <cfRule type="expression" dxfId="235" priority="247">
      <formula>H62=1</formula>
    </cfRule>
  </conditionalFormatting>
  <conditionalFormatting sqref="G63">
    <cfRule type="expression" dxfId="234" priority="246">
      <formula>H63=1</formula>
    </cfRule>
  </conditionalFormatting>
  <conditionalFormatting sqref="G64">
    <cfRule type="expression" dxfId="233" priority="245">
      <formula>H64=1</formula>
    </cfRule>
  </conditionalFormatting>
  <conditionalFormatting sqref="G65">
    <cfRule type="expression" dxfId="232" priority="244">
      <formula>H65=1</formula>
    </cfRule>
  </conditionalFormatting>
  <conditionalFormatting sqref="G69">
    <cfRule type="expression" dxfId="231" priority="243">
      <formula>H69=1</formula>
    </cfRule>
  </conditionalFormatting>
  <conditionalFormatting sqref="G70">
    <cfRule type="expression" dxfId="230" priority="242">
      <formula>H70=1</formula>
    </cfRule>
  </conditionalFormatting>
  <conditionalFormatting sqref="G71">
    <cfRule type="expression" dxfId="229" priority="241">
      <formula>H71=1</formula>
    </cfRule>
  </conditionalFormatting>
  <conditionalFormatting sqref="G72">
    <cfRule type="expression" dxfId="228" priority="240">
      <formula>H72=1</formula>
    </cfRule>
  </conditionalFormatting>
  <conditionalFormatting sqref="G73">
    <cfRule type="expression" dxfId="227" priority="239">
      <formula>H73=1</formula>
    </cfRule>
  </conditionalFormatting>
  <conditionalFormatting sqref="G74">
    <cfRule type="expression" dxfId="226" priority="238">
      <formula>H74=1</formula>
    </cfRule>
  </conditionalFormatting>
  <conditionalFormatting sqref="G75">
    <cfRule type="expression" dxfId="225" priority="237">
      <formula>H75=1</formula>
    </cfRule>
  </conditionalFormatting>
  <conditionalFormatting sqref="G76">
    <cfRule type="expression" dxfId="224" priority="236">
      <formula>H76=1</formula>
    </cfRule>
  </conditionalFormatting>
  <conditionalFormatting sqref="I76">
    <cfRule type="expression" dxfId="223" priority="235">
      <formula>J76=1</formula>
    </cfRule>
  </conditionalFormatting>
  <conditionalFormatting sqref="I75">
    <cfRule type="expression" dxfId="222" priority="234">
      <formula>J75=1</formula>
    </cfRule>
  </conditionalFormatting>
  <conditionalFormatting sqref="I74">
    <cfRule type="expression" dxfId="221" priority="233">
      <formula>J74=1</formula>
    </cfRule>
  </conditionalFormatting>
  <conditionalFormatting sqref="I73">
    <cfRule type="expression" dxfId="220" priority="232">
      <formula>J73=1</formula>
    </cfRule>
  </conditionalFormatting>
  <conditionalFormatting sqref="I72">
    <cfRule type="expression" dxfId="219" priority="231">
      <formula>J72=1</formula>
    </cfRule>
  </conditionalFormatting>
  <conditionalFormatting sqref="I71">
    <cfRule type="expression" dxfId="218" priority="230">
      <formula>J71=1</formula>
    </cfRule>
  </conditionalFormatting>
  <conditionalFormatting sqref="I70">
    <cfRule type="expression" dxfId="217" priority="229">
      <formula>J70=1</formula>
    </cfRule>
  </conditionalFormatting>
  <conditionalFormatting sqref="I69">
    <cfRule type="expression" dxfId="216" priority="228">
      <formula>J69=1</formula>
    </cfRule>
  </conditionalFormatting>
  <conditionalFormatting sqref="I64">
    <cfRule type="expression" dxfId="215" priority="227">
      <formula>J64=1</formula>
    </cfRule>
  </conditionalFormatting>
  <conditionalFormatting sqref="I65">
    <cfRule type="expression" dxfId="214" priority="226">
      <formula>J65=1</formula>
    </cfRule>
  </conditionalFormatting>
  <conditionalFormatting sqref="I63">
    <cfRule type="expression" dxfId="213" priority="225">
      <formula>J63=1</formula>
    </cfRule>
  </conditionalFormatting>
  <conditionalFormatting sqref="I62">
    <cfRule type="expression" dxfId="212" priority="224">
      <formula>J62=1</formula>
    </cfRule>
  </conditionalFormatting>
  <conditionalFormatting sqref="I61">
    <cfRule type="expression" dxfId="211" priority="223">
      <formula>J61=1</formula>
    </cfRule>
  </conditionalFormatting>
  <conditionalFormatting sqref="I60">
    <cfRule type="expression" dxfId="210" priority="222">
      <formula>J60=1</formula>
    </cfRule>
  </conditionalFormatting>
  <conditionalFormatting sqref="I59">
    <cfRule type="expression" dxfId="209" priority="221">
      <formula>J59=1</formula>
    </cfRule>
  </conditionalFormatting>
  <conditionalFormatting sqref="I58">
    <cfRule type="expression" dxfId="208" priority="220">
      <formula>J58=1</formula>
    </cfRule>
  </conditionalFormatting>
  <conditionalFormatting sqref="K58">
    <cfRule type="expression" dxfId="207" priority="219">
      <formula>L58=1</formula>
    </cfRule>
  </conditionalFormatting>
  <conditionalFormatting sqref="K59">
    <cfRule type="expression" dxfId="206" priority="218">
      <formula>L59=1</formula>
    </cfRule>
  </conditionalFormatting>
  <conditionalFormatting sqref="K60">
    <cfRule type="expression" dxfId="205" priority="217">
      <formula>L60=1</formula>
    </cfRule>
  </conditionalFormatting>
  <conditionalFormatting sqref="K61">
    <cfRule type="expression" dxfId="204" priority="216">
      <formula>L61=1</formula>
    </cfRule>
  </conditionalFormatting>
  <conditionalFormatting sqref="K62">
    <cfRule type="expression" dxfId="203" priority="215">
      <formula>L62=1</formula>
    </cfRule>
  </conditionalFormatting>
  <conditionalFormatting sqref="K63">
    <cfRule type="expression" dxfId="202" priority="214">
      <formula>L63=1</formula>
    </cfRule>
  </conditionalFormatting>
  <conditionalFormatting sqref="K64">
    <cfRule type="expression" dxfId="201" priority="213">
      <formula>L64=1</formula>
    </cfRule>
  </conditionalFormatting>
  <conditionalFormatting sqref="K65">
    <cfRule type="expression" dxfId="200" priority="212">
      <formula>L65=1</formula>
    </cfRule>
  </conditionalFormatting>
  <conditionalFormatting sqref="K69">
    <cfRule type="expression" dxfId="199" priority="211">
      <formula>L69=1</formula>
    </cfRule>
  </conditionalFormatting>
  <conditionalFormatting sqref="K70">
    <cfRule type="expression" dxfId="198" priority="210">
      <formula>L70=1</formula>
    </cfRule>
  </conditionalFormatting>
  <conditionalFormatting sqref="K71">
    <cfRule type="expression" dxfId="197" priority="209">
      <formula>L71=1</formula>
    </cfRule>
  </conditionalFormatting>
  <conditionalFormatting sqref="K72">
    <cfRule type="expression" dxfId="196" priority="208">
      <formula>L72=1</formula>
    </cfRule>
  </conditionalFormatting>
  <conditionalFormatting sqref="K73">
    <cfRule type="expression" dxfId="195" priority="207">
      <formula>L73=1</formula>
    </cfRule>
  </conditionalFormatting>
  <conditionalFormatting sqref="K74">
    <cfRule type="expression" dxfId="194" priority="206">
      <formula>L74=1</formula>
    </cfRule>
  </conditionalFormatting>
  <conditionalFormatting sqref="K75">
    <cfRule type="expression" dxfId="193" priority="205">
      <formula>L75=1</formula>
    </cfRule>
  </conditionalFormatting>
  <conditionalFormatting sqref="K76">
    <cfRule type="expression" dxfId="192" priority="204">
      <formula>L76=1</formula>
    </cfRule>
  </conditionalFormatting>
  <conditionalFormatting sqref="M76">
    <cfRule type="expression" dxfId="191" priority="203">
      <formula>N76=1</formula>
    </cfRule>
  </conditionalFormatting>
  <conditionalFormatting sqref="M75">
    <cfRule type="expression" dxfId="190" priority="202">
      <formula>N75=1</formula>
    </cfRule>
  </conditionalFormatting>
  <conditionalFormatting sqref="M74">
    <cfRule type="expression" dxfId="189" priority="201">
      <formula>N74=1</formula>
    </cfRule>
  </conditionalFormatting>
  <conditionalFormatting sqref="M73">
    <cfRule type="expression" dxfId="188" priority="200">
      <formula>N73=1</formula>
    </cfRule>
  </conditionalFormatting>
  <conditionalFormatting sqref="M72">
    <cfRule type="expression" dxfId="187" priority="199">
      <formula>N72=1</formula>
    </cfRule>
  </conditionalFormatting>
  <conditionalFormatting sqref="M71">
    <cfRule type="expression" dxfId="186" priority="198">
      <formula>N71=1</formula>
    </cfRule>
  </conditionalFormatting>
  <conditionalFormatting sqref="M70">
    <cfRule type="expression" dxfId="185" priority="197">
      <formula>N70=1</formula>
    </cfRule>
  </conditionalFormatting>
  <conditionalFormatting sqref="M69">
    <cfRule type="expression" dxfId="184" priority="196">
      <formula>N69=1</formula>
    </cfRule>
  </conditionalFormatting>
  <conditionalFormatting sqref="M65">
    <cfRule type="expression" dxfId="183" priority="195">
      <formula>N65=1</formula>
    </cfRule>
  </conditionalFormatting>
  <conditionalFormatting sqref="M64">
    <cfRule type="expression" dxfId="182" priority="194">
      <formula>N64=1</formula>
    </cfRule>
  </conditionalFormatting>
  <conditionalFormatting sqref="M63">
    <cfRule type="expression" dxfId="181" priority="193">
      <formula>N63=1</formula>
    </cfRule>
  </conditionalFormatting>
  <conditionalFormatting sqref="M62">
    <cfRule type="expression" dxfId="180" priority="192">
      <formula>N62=1</formula>
    </cfRule>
  </conditionalFormatting>
  <conditionalFormatting sqref="M61">
    <cfRule type="expression" dxfId="179" priority="191">
      <formula>N61=1</formula>
    </cfRule>
  </conditionalFormatting>
  <conditionalFormatting sqref="M60">
    <cfRule type="expression" dxfId="178" priority="190">
      <formula>N60=1</formula>
    </cfRule>
  </conditionalFormatting>
  <conditionalFormatting sqref="M59">
    <cfRule type="expression" dxfId="177" priority="189">
      <formula>N59=1</formula>
    </cfRule>
  </conditionalFormatting>
  <conditionalFormatting sqref="M58">
    <cfRule type="expression" dxfId="176" priority="188">
      <formula>N58=1</formula>
    </cfRule>
  </conditionalFormatting>
  <conditionalFormatting sqref="O58">
    <cfRule type="expression" dxfId="175" priority="187">
      <formula>P58=1</formula>
    </cfRule>
  </conditionalFormatting>
  <conditionalFormatting sqref="O59">
    <cfRule type="expression" dxfId="174" priority="186">
      <formula>P59=1</formula>
    </cfRule>
  </conditionalFormatting>
  <conditionalFormatting sqref="O60">
    <cfRule type="expression" dxfId="173" priority="185">
      <formula>P60=1</formula>
    </cfRule>
  </conditionalFormatting>
  <conditionalFormatting sqref="O61">
    <cfRule type="expression" dxfId="172" priority="184">
      <formula>P61=1</formula>
    </cfRule>
  </conditionalFormatting>
  <conditionalFormatting sqref="O62">
    <cfRule type="expression" dxfId="171" priority="183">
      <formula>P62=1</formula>
    </cfRule>
  </conditionalFormatting>
  <conditionalFormatting sqref="O63">
    <cfRule type="expression" dxfId="170" priority="182">
      <formula>P63=1</formula>
    </cfRule>
  </conditionalFormatting>
  <conditionalFormatting sqref="O64">
    <cfRule type="expression" dxfId="169" priority="181">
      <formula>P64=1</formula>
    </cfRule>
  </conditionalFormatting>
  <conditionalFormatting sqref="O65">
    <cfRule type="expression" dxfId="168" priority="180">
      <formula>P65=1</formula>
    </cfRule>
  </conditionalFormatting>
  <conditionalFormatting sqref="O69">
    <cfRule type="expression" dxfId="167" priority="179">
      <formula>P69=1</formula>
    </cfRule>
  </conditionalFormatting>
  <conditionalFormatting sqref="O70">
    <cfRule type="expression" dxfId="166" priority="178">
      <formula>P70=1</formula>
    </cfRule>
  </conditionalFormatting>
  <conditionalFormatting sqref="O71">
    <cfRule type="expression" dxfId="165" priority="177">
      <formula>P71=1</formula>
    </cfRule>
  </conditionalFormatting>
  <conditionalFormatting sqref="O72">
    <cfRule type="expression" dxfId="164" priority="176">
      <formula>P72=1</formula>
    </cfRule>
  </conditionalFormatting>
  <conditionalFormatting sqref="O73">
    <cfRule type="expression" dxfId="163" priority="175">
      <formula>P73=1</formula>
    </cfRule>
  </conditionalFormatting>
  <conditionalFormatting sqref="O74">
    <cfRule type="expression" dxfId="162" priority="174">
      <formula>P74=1</formula>
    </cfRule>
  </conditionalFormatting>
  <conditionalFormatting sqref="O75">
    <cfRule type="expression" dxfId="161" priority="173">
      <formula>P75=1</formula>
    </cfRule>
  </conditionalFormatting>
  <conditionalFormatting sqref="O76">
    <cfRule type="expression" dxfId="160" priority="172">
      <formula>P76=1</formula>
    </cfRule>
  </conditionalFormatting>
  <conditionalFormatting sqref="Q76">
    <cfRule type="expression" dxfId="159" priority="171">
      <formula>R76=1</formula>
    </cfRule>
  </conditionalFormatting>
  <conditionalFormatting sqref="Q75">
    <cfRule type="expression" dxfId="158" priority="170">
      <formula>R75=1</formula>
    </cfRule>
  </conditionalFormatting>
  <conditionalFormatting sqref="Q74">
    <cfRule type="expression" dxfId="157" priority="169">
      <formula>R74=1</formula>
    </cfRule>
  </conditionalFormatting>
  <conditionalFormatting sqref="Q73">
    <cfRule type="expression" dxfId="156" priority="168">
      <formula>R73=1</formula>
    </cfRule>
  </conditionalFormatting>
  <conditionalFormatting sqref="Q72">
    <cfRule type="expression" dxfId="155" priority="167">
      <formula>R72=1</formula>
    </cfRule>
  </conditionalFormatting>
  <conditionalFormatting sqref="Q71">
    <cfRule type="expression" dxfId="154" priority="166">
      <formula>R71=1</formula>
    </cfRule>
  </conditionalFormatting>
  <conditionalFormatting sqref="Q70">
    <cfRule type="expression" dxfId="153" priority="165">
      <formula>R70=1</formula>
    </cfRule>
  </conditionalFormatting>
  <conditionalFormatting sqref="Q69">
    <cfRule type="expression" dxfId="152" priority="164">
      <formula>R69=1</formula>
    </cfRule>
  </conditionalFormatting>
  <conditionalFormatting sqref="Q65">
    <cfRule type="expression" dxfId="151" priority="162">
      <formula>R65=1</formula>
    </cfRule>
  </conditionalFormatting>
  <conditionalFormatting sqref="Q64">
    <cfRule type="expression" dxfId="150" priority="160">
      <formula>R64=1</formula>
    </cfRule>
  </conditionalFormatting>
  <conditionalFormatting sqref="Q63">
    <cfRule type="expression" dxfId="149" priority="158">
      <formula>R63=1</formula>
    </cfRule>
  </conditionalFormatting>
  <conditionalFormatting sqref="Q62">
    <cfRule type="expression" dxfId="148" priority="156">
      <formula>R62=1</formula>
    </cfRule>
  </conditionalFormatting>
  <conditionalFormatting sqref="Q61">
    <cfRule type="expression" dxfId="147" priority="154">
      <formula>R61=1</formula>
    </cfRule>
  </conditionalFormatting>
  <conditionalFormatting sqref="Q60">
    <cfRule type="expression" dxfId="146" priority="152">
      <formula>R60=1</formula>
    </cfRule>
  </conditionalFormatting>
  <conditionalFormatting sqref="Q59">
    <cfRule type="expression" dxfId="145" priority="150">
      <formula>R59=1</formula>
    </cfRule>
  </conditionalFormatting>
  <conditionalFormatting sqref="Q58">
    <cfRule type="expression" dxfId="144" priority="148">
      <formula>R58=1</formula>
    </cfRule>
  </conditionalFormatting>
  <conditionalFormatting sqref="G80">
    <cfRule type="expression" dxfId="143" priority="144">
      <formula>H80=1</formula>
    </cfRule>
  </conditionalFormatting>
  <conditionalFormatting sqref="G81">
    <cfRule type="expression" dxfId="142" priority="143">
      <formula>H81=1</formula>
    </cfRule>
  </conditionalFormatting>
  <conditionalFormatting sqref="G82">
    <cfRule type="expression" dxfId="141" priority="142">
      <formula>H82=1</formula>
    </cfRule>
  </conditionalFormatting>
  <conditionalFormatting sqref="G83">
    <cfRule type="expression" dxfId="140" priority="141">
      <formula>H83=1</formula>
    </cfRule>
  </conditionalFormatting>
  <conditionalFormatting sqref="G84">
    <cfRule type="expression" dxfId="139" priority="140">
      <formula>H84=1</formula>
    </cfRule>
  </conditionalFormatting>
  <conditionalFormatting sqref="G85">
    <cfRule type="expression" dxfId="138" priority="139">
      <formula>H85=1</formula>
    </cfRule>
  </conditionalFormatting>
  <conditionalFormatting sqref="G86">
    <cfRule type="expression" dxfId="137" priority="138">
      <formula>H86=1</formula>
    </cfRule>
  </conditionalFormatting>
  <conditionalFormatting sqref="G87">
    <cfRule type="expression" dxfId="136" priority="137">
      <formula>H87=1</formula>
    </cfRule>
  </conditionalFormatting>
  <conditionalFormatting sqref="G91">
    <cfRule type="expression" dxfId="135" priority="136">
      <formula>H91=1</formula>
    </cfRule>
  </conditionalFormatting>
  <conditionalFormatting sqref="G92">
    <cfRule type="expression" dxfId="134" priority="135">
      <formula>H92=1</formula>
    </cfRule>
  </conditionalFormatting>
  <conditionalFormatting sqref="G93">
    <cfRule type="expression" dxfId="133" priority="134">
      <formula>H93=1</formula>
    </cfRule>
  </conditionalFormatting>
  <conditionalFormatting sqref="G94">
    <cfRule type="expression" dxfId="132" priority="133">
      <formula>H94=1</formula>
    </cfRule>
  </conditionalFormatting>
  <conditionalFormatting sqref="G95">
    <cfRule type="expression" dxfId="131" priority="132">
      <formula>H95=1</formula>
    </cfRule>
  </conditionalFormatting>
  <conditionalFormatting sqref="G96">
    <cfRule type="expression" dxfId="130" priority="131">
      <formula>H96=1</formula>
    </cfRule>
  </conditionalFormatting>
  <conditionalFormatting sqref="G97">
    <cfRule type="expression" dxfId="129" priority="130">
      <formula>H97=1</formula>
    </cfRule>
  </conditionalFormatting>
  <conditionalFormatting sqref="G98">
    <cfRule type="expression" dxfId="128" priority="129">
      <formula>H98=1</formula>
    </cfRule>
  </conditionalFormatting>
  <conditionalFormatting sqref="G102">
    <cfRule type="expression" dxfId="127" priority="128">
      <formula>H102=1</formula>
    </cfRule>
  </conditionalFormatting>
  <conditionalFormatting sqref="G103">
    <cfRule type="expression" dxfId="126" priority="127">
      <formula>H103=1</formula>
    </cfRule>
  </conditionalFormatting>
  <conditionalFormatting sqref="G104">
    <cfRule type="expression" dxfId="125" priority="126">
      <formula>H104=1</formula>
    </cfRule>
  </conditionalFormatting>
  <conditionalFormatting sqref="G105">
    <cfRule type="expression" dxfId="124" priority="125">
      <formula>H105=1</formula>
    </cfRule>
  </conditionalFormatting>
  <conditionalFormatting sqref="G106">
    <cfRule type="expression" dxfId="123" priority="124">
      <formula>H106=1</formula>
    </cfRule>
  </conditionalFormatting>
  <conditionalFormatting sqref="G107">
    <cfRule type="expression" dxfId="122" priority="123">
      <formula>H107=1</formula>
    </cfRule>
  </conditionalFormatting>
  <conditionalFormatting sqref="G108">
    <cfRule type="expression" dxfId="121" priority="122">
      <formula>H108=1</formula>
    </cfRule>
  </conditionalFormatting>
  <conditionalFormatting sqref="G109">
    <cfRule type="expression" dxfId="120" priority="121">
      <formula>H109=1</formula>
    </cfRule>
  </conditionalFormatting>
  <conditionalFormatting sqref="I80">
    <cfRule type="expression" dxfId="119" priority="120">
      <formula>J80=1</formula>
    </cfRule>
  </conditionalFormatting>
  <conditionalFormatting sqref="I81">
    <cfRule type="expression" dxfId="118" priority="119">
      <formula>J81=1</formula>
    </cfRule>
  </conditionalFormatting>
  <conditionalFormatting sqref="I82">
    <cfRule type="expression" dxfId="117" priority="118">
      <formula>J82=1</formula>
    </cfRule>
  </conditionalFormatting>
  <conditionalFormatting sqref="I83">
    <cfRule type="expression" dxfId="116" priority="117">
      <formula>J83=1</formula>
    </cfRule>
  </conditionalFormatting>
  <conditionalFormatting sqref="I84">
    <cfRule type="expression" dxfId="115" priority="116">
      <formula>J84=1</formula>
    </cfRule>
  </conditionalFormatting>
  <conditionalFormatting sqref="I85">
    <cfRule type="expression" dxfId="114" priority="115">
      <formula>J85=1</formula>
    </cfRule>
  </conditionalFormatting>
  <conditionalFormatting sqref="I86">
    <cfRule type="expression" dxfId="113" priority="114">
      <formula>J86=1</formula>
    </cfRule>
  </conditionalFormatting>
  <conditionalFormatting sqref="I87">
    <cfRule type="expression" dxfId="112" priority="113">
      <formula>J87=1</formula>
    </cfRule>
  </conditionalFormatting>
  <conditionalFormatting sqref="I91">
    <cfRule type="expression" dxfId="111" priority="112">
      <formula>J91=1</formula>
    </cfRule>
  </conditionalFormatting>
  <conditionalFormatting sqref="I92">
    <cfRule type="expression" dxfId="110" priority="111">
      <formula>J92=1</formula>
    </cfRule>
  </conditionalFormatting>
  <conditionalFormatting sqref="I93">
    <cfRule type="expression" dxfId="109" priority="110">
      <formula>J93=1</formula>
    </cfRule>
  </conditionalFormatting>
  <conditionalFormatting sqref="I94">
    <cfRule type="expression" dxfId="108" priority="109">
      <formula>J94=1</formula>
    </cfRule>
  </conditionalFormatting>
  <conditionalFormatting sqref="I95">
    <cfRule type="expression" dxfId="107" priority="108">
      <formula>J95=1</formula>
    </cfRule>
  </conditionalFormatting>
  <conditionalFormatting sqref="I96">
    <cfRule type="expression" dxfId="106" priority="107">
      <formula>J96=1</formula>
    </cfRule>
  </conditionalFormatting>
  <conditionalFormatting sqref="I98">
    <cfRule type="expression" dxfId="105" priority="106">
      <formula>J98=1</formula>
    </cfRule>
  </conditionalFormatting>
  <conditionalFormatting sqref="I97">
    <cfRule type="expression" dxfId="104" priority="105">
      <formula>J97=1</formula>
    </cfRule>
  </conditionalFormatting>
  <conditionalFormatting sqref="I103">
    <cfRule type="expression" dxfId="103" priority="104">
      <formula>J103=1</formula>
    </cfRule>
  </conditionalFormatting>
  <conditionalFormatting sqref="I102">
    <cfRule type="expression" dxfId="102" priority="103">
      <formula>J102=1</formula>
    </cfRule>
  </conditionalFormatting>
  <conditionalFormatting sqref="I104">
    <cfRule type="expression" dxfId="101" priority="102">
      <formula>J104=1</formula>
    </cfRule>
  </conditionalFormatting>
  <conditionalFormatting sqref="I105">
    <cfRule type="expression" dxfId="100" priority="101">
      <formula>J105=1</formula>
    </cfRule>
  </conditionalFormatting>
  <conditionalFormatting sqref="I106">
    <cfRule type="expression" dxfId="99" priority="100">
      <formula>J106=1</formula>
    </cfRule>
  </conditionalFormatting>
  <conditionalFormatting sqref="I107">
    <cfRule type="expression" dxfId="98" priority="99">
      <formula>J107=1</formula>
    </cfRule>
  </conditionalFormatting>
  <conditionalFormatting sqref="I108">
    <cfRule type="expression" dxfId="97" priority="98">
      <formula>J108=1</formula>
    </cfRule>
  </conditionalFormatting>
  <conditionalFormatting sqref="I109">
    <cfRule type="expression" dxfId="96" priority="97">
      <formula>J109=1</formula>
    </cfRule>
  </conditionalFormatting>
  <conditionalFormatting sqref="K109">
    <cfRule type="expression" dxfId="95" priority="96">
      <formula>L109=1</formula>
    </cfRule>
  </conditionalFormatting>
  <conditionalFormatting sqref="K108">
    <cfRule type="expression" dxfId="94" priority="95">
      <formula>L108=1</formula>
    </cfRule>
  </conditionalFormatting>
  <conditionalFormatting sqref="K107">
    <cfRule type="expression" dxfId="93" priority="94">
      <formula>L107=1</formula>
    </cfRule>
  </conditionalFormatting>
  <conditionalFormatting sqref="K106">
    <cfRule type="expression" dxfId="92" priority="93">
      <formula>L106=1</formula>
    </cfRule>
  </conditionalFormatting>
  <conditionalFormatting sqref="K105">
    <cfRule type="expression" dxfId="91" priority="92">
      <formula>L105=1</formula>
    </cfRule>
  </conditionalFormatting>
  <conditionalFormatting sqref="K104">
    <cfRule type="expression" dxfId="90" priority="91">
      <formula>L104=1</formula>
    </cfRule>
  </conditionalFormatting>
  <conditionalFormatting sqref="K103">
    <cfRule type="expression" dxfId="89" priority="90">
      <formula>L103=1</formula>
    </cfRule>
  </conditionalFormatting>
  <conditionalFormatting sqref="K102">
    <cfRule type="expression" dxfId="88" priority="89">
      <formula>L102=1</formula>
    </cfRule>
  </conditionalFormatting>
  <conditionalFormatting sqref="K98">
    <cfRule type="expression" dxfId="87" priority="88">
      <formula>L98=1</formula>
    </cfRule>
  </conditionalFormatting>
  <conditionalFormatting sqref="K97">
    <cfRule type="expression" dxfId="86" priority="87">
      <formula>L97=1</formula>
    </cfRule>
  </conditionalFormatting>
  <conditionalFormatting sqref="K96">
    <cfRule type="expression" dxfId="85" priority="86">
      <formula>L96=1</formula>
    </cfRule>
  </conditionalFormatting>
  <conditionalFormatting sqref="K95">
    <cfRule type="expression" dxfId="84" priority="85">
      <formula>L95=1</formula>
    </cfRule>
  </conditionalFormatting>
  <conditionalFormatting sqref="K94">
    <cfRule type="expression" dxfId="83" priority="84">
      <formula>L94=1</formula>
    </cfRule>
  </conditionalFormatting>
  <conditionalFormatting sqref="K93">
    <cfRule type="expression" dxfId="82" priority="83">
      <formula>L93=1</formula>
    </cfRule>
  </conditionalFormatting>
  <conditionalFormatting sqref="K92">
    <cfRule type="expression" dxfId="81" priority="82">
      <formula>L92=1</formula>
    </cfRule>
  </conditionalFormatting>
  <conditionalFormatting sqref="K91">
    <cfRule type="expression" dxfId="80" priority="81">
      <formula>L91=1</formula>
    </cfRule>
  </conditionalFormatting>
  <conditionalFormatting sqref="K87">
    <cfRule type="expression" dxfId="79" priority="80">
      <formula>L87=1</formula>
    </cfRule>
  </conditionalFormatting>
  <conditionalFormatting sqref="K86">
    <cfRule type="expression" dxfId="78" priority="79">
      <formula>L86=1</formula>
    </cfRule>
  </conditionalFormatting>
  <conditionalFormatting sqref="K85">
    <cfRule type="expression" dxfId="77" priority="78">
      <formula>L85=1</formula>
    </cfRule>
  </conditionalFormatting>
  <conditionalFormatting sqref="K84">
    <cfRule type="expression" dxfId="76" priority="77">
      <formula>L84=1</formula>
    </cfRule>
  </conditionalFormatting>
  <conditionalFormatting sqref="K83">
    <cfRule type="expression" dxfId="75" priority="76">
      <formula>L83=1</formula>
    </cfRule>
  </conditionalFormatting>
  <conditionalFormatting sqref="K82">
    <cfRule type="expression" dxfId="74" priority="75">
      <formula>L82=1</formula>
    </cfRule>
  </conditionalFormatting>
  <conditionalFormatting sqref="K81">
    <cfRule type="expression" dxfId="73" priority="74">
      <formula>L81=1</formula>
    </cfRule>
  </conditionalFormatting>
  <conditionalFormatting sqref="K80">
    <cfRule type="expression" dxfId="72" priority="73">
      <formula>L80=1</formula>
    </cfRule>
  </conditionalFormatting>
  <conditionalFormatting sqref="M80">
    <cfRule type="expression" dxfId="71" priority="72">
      <formula>N80=1</formula>
    </cfRule>
  </conditionalFormatting>
  <conditionalFormatting sqref="M81">
    <cfRule type="expression" dxfId="70" priority="71">
      <formula>N81=1</formula>
    </cfRule>
  </conditionalFormatting>
  <conditionalFormatting sqref="M82">
    <cfRule type="expression" dxfId="69" priority="70">
      <formula>N82=1</formula>
    </cfRule>
  </conditionalFormatting>
  <conditionalFormatting sqref="M83">
    <cfRule type="expression" dxfId="68" priority="69">
      <formula>N83=1</formula>
    </cfRule>
  </conditionalFormatting>
  <conditionalFormatting sqref="M84">
    <cfRule type="expression" dxfId="67" priority="68">
      <formula>N84=1</formula>
    </cfRule>
  </conditionalFormatting>
  <conditionalFormatting sqref="M85">
    <cfRule type="expression" dxfId="66" priority="67">
      <formula>N85=1</formula>
    </cfRule>
  </conditionalFormatting>
  <conditionalFormatting sqref="M86">
    <cfRule type="expression" dxfId="65" priority="66">
      <formula>N86=1</formula>
    </cfRule>
  </conditionalFormatting>
  <conditionalFormatting sqref="M87">
    <cfRule type="expression" dxfId="64" priority="65">
      <formula>N87=1</formula>
    </cfRule>
  </conditionalFormatting>
  <conditionalFormatting sqref="M91">
    <cfRule type="expression" dxfId="63" priority="64">
      <formula>N91=1</formula>
    </cfRule>
  </conditionalFormatting>
  <conditionalFormatting sqref="M92">
    <cfRule type="expression" dxfId="62" priority="63">
      <formula>N92=1</formula>
    </cfRule>
  </conditionalFormatting>
  <conditionalFormatting sqref="M93">
    <cfRule type="expression" dxfId="61" priority="62">
      <formula>N93=1</formula>
    </cfRule>
  </conditionalFormatting>
  <conditionalFormatting sqref="M94">
    <cfRule type="expression" dxfId="60" priority="61">
      <formula>N94=1</formula>
    </cfRule>
  </conditionalFormatting>
  <conditionalFormatting sqref="M95">
    <cfRule type="expression" dxfId="59" priority="60">
      <formula>N95=1</formula>
    </cfRule>
  </conditionalFormatting>
  <conditionalFormatting sqref="M96">
    <cfRule type="expression" dxfId="58" priority="59">
      <formula>N96=1</formula>
    </cfRule>
  </conditionalFormatting>
  <conditionalFormatting sqref="M97">
    <cfRule type="expression" dxfId="57" priority="58">
      <formula>N97=1</formula>
    </cfRule>
  </conditionalFormatting>
  <conditionalFormatting sqref="M98">
    <cfRule type="expression" dxfId="56" priority="57">
      <formula>N98=1</formula>
    </cfRule>
  </conditionalFormatting>
  <conditionalFormatting sqref="M102">
    <cfRule type="expression" dxfId="55" priority="56">
      <formula>N102=1</formula>
    </cfRule>
  </conditionalFormatting>
  <conditionalFormatting sqref="M103">
    <cfRule type="expression" dxfId="54" priority="55">
      <formula>N103=1</formula>
    </cfRule>
  </conditionalFormatting>
  <conditionalFormatting sqref="M104">
    <cfRule type="expression" dxfId="53" priority="54">
      <formula>N104=1</formula>
    </cfRule>
  </conditionalFormatting>
  <conditionalFormatting sqref="M105">
    <cfRule type="expression" dxfId="52" priority="53">
      <formula>N105=1</formula>
    </cfRule>
  </conditionalFormatting>
  <conditionalFormatting sqref="M106">
    <cfRule type="expression" dxfId="51" priority="52">
      <formula>N106=1</formula>
    </cfRule>
  </conditionalFormatting>
  <conditionalFormatting sqref="M107">
    <cfRule type="expression" dxfId="50" priority="51">
      <formula>N107=1</formula>
    </cfRule>
  </conditionalFormatting>
  <conditionalFormatting sqref="M108">
    <cfRule type="expression" dxfId="49" priority="50">
      <formula>N108=1</formula>
    </cfRule>
  </conditionalFormatting>
  <conditionalFormatting sqref="M109">
    <cfRule type="expression" dxfId="48" priority="49">
      <formula>N109=1</formula>
    </cfRule>
  </conditionalFormatting>
  <conditionalFormatting sqref="O109">
    <cfRule type="expression" dxfId="47" priority="48">
      <formula>P109=1</formula>
    </cfRule>
  </conditionalFormatting>
  <conditionalFormatting sqref="O108">
    <cfRule type="expression" dxfId="46" priority="47">
      <formula>P108=1</formula>
    </cfRule>
  </conditionalFormatting>
  <conditionalFormatting sqref="O107">
    <cfRule type="expression" dxfId="45" priority="46">
      <formula>P107=1</formula>
    </cfRule>
  </conditionalFormatting>
  <conditionalFormatting sqref="O106">
    <cfRule type="expression" dxfId="44" priority="45">
      <formula>P106=1</formula>
    </cfRule>
  </conditionalFormatting>
  <conditionalFormatting sqref="O105">
    <cfRule type="expression" dxfId="43" priority="44">
      <formula>P105=1</formula>
    </cfRule>
  </conditionalFormatting>
  <conditionalFormatting sqref="O104">
    <cfRule type="expression" dxfId="42" priority="43">
      <formula>P104=1</formula>
    </cfRule>
  </conditionalFormatting>
  <conditionalFormatting sqref="O103">
    <cfRule type="expression" dxfId="41" priority="42">
      <formula>P103=1</formula>
    </cfRule>
  </conditionalFormatting>
  <conditionalFormatting sqref="O102">
    <cfRule type="expression" dxfId="40" priority="41">
      <formula>P102=1</formula>
    </cfRule>
  </conditionalFormatting>
  <conditionalFormatting sqref="O98">
    <cfRule type="expression" dxfId="39" priority="40">
      <formula>P98=1</formula>
    </cfRule>
  </conditionalFormatting>
  <conditionalFormatting sqref="O97">
    <cfRule type="expression" dxfId="38" priority="39">
      <formula>P97=1</formula>
    </cfRule>
  </conditionalFormatting>
  <conditionalFormatting sqref="O96">
    <cfRule type="expression" dxfId="37" priority="38">
      <formula>P96=1</formula>
    </cfRule>
  </conditionalFormatting>
  <conditionalFormatting sqref="O95">
    <cfRule type="expression" dxfId="36" priority="37">
      <formula>P95=1</formula>
    </cfRule>
  </conditionalFormatting>
  <conditionalFormatting sqref="O94">
    <cfRule type="expression" dxfId="35" priority="36">
      <formula>P94=1</formula>
    </cfRule>
  </conditionalFormatting>
  <conditionalFormatting sqref="O93">
    <cfRule type="expression" dxfId="34" priority="35">
      <formula>P93=1</formula>
    </cfRule>
  </conditionalFormatting>
  <conditionalFormatting sqref="O92">
    <cfRule type="expression" dxfId="33" priority="34">
      <formula>P92=1</formula>
    </cfRule>
  </conditionalFormatting>
  <conditionalFormatting sqref="O91">
    <cfRule type="expression" dxfId="32" priority="33">
      <formula>P91=1</formula>
    </cfRule>
  </conditionalFormatting>
  <conditionalFormatting sqref="O87">
    <cfRule type="expression" dxfId="31" priority="32">
      <formula>P87=1</formula>
    </cfRule>
  </conditionalFormatting>
  <conditionalFormatting sqref="O86">
    <cfRule type="expression" dxfId="30" priority="31">
      <formula>P86=1</formula>
    </cfRule>
  </conditionalFormatting>
  <conditionalFormatting sqref="O85">
    <cfRule type="expression" dxfId="29" priority="30">
      <formula>P85=1</formula>
    </cfRule>
  </conditionalFormatting>
  <conditionalFormatting sqref="O84">
    <cfRule type="expression" dxfId="28" priority="29">
      <formula>P84=1</formula>
    </cfRule>
  </conditionalFormatting>
  <conditionalFormatting sqref="O83">
    <cfRule type="expression" dxfId="27" priority="28">
      <formula>P83=1</formula>
    </cfRule>
  </conditionalFormatting>
  <conditionalFormatting sqref="O82">
    <cfRule type="expression" dxfId="26" priority="27">
      <formula>P82=1</formula>
    </cfRule>
  </conditionalFormatting>
  <conditionalFormatting sqref="O81">
    <cfRule type="expression" dxfId="25" priority="26">
      <formula>P81=1</formula>
    </cfRule>
  </conditionalFormatting>
  <conditionalFormatting sqref="O80">
    <cfRule type="expression" dxfId="24" priority="25">
      <formula>P80=1</formula>
    </cfRule>
  </conditionalFormatting>
  <conditionalFormatting sqref="Q80">
    <cfRule type="expression" dxfId="23" priority="24">
      <formula>R80=1</formula>
    </cfRule>
  </conditionalFormatting>
  <conditionalFormatting sqref="Q81">
    <cfRule type="expression" dxfId="22" priority="23">
      <formula>R81=1</formula>
    </cfRule>
  </conditionalFormatting>
  <conditionalFormatting sqref="Q82">
    <cfRule type="expression" dxfId="21" priority="22">
      <formula>R82=1</formula>
    </cfRule>
  </conditionalFormatting>
  <conditionalFormatting sqref="Q83">
    <cfRule type="expression" dxfId="20" priority="21">
      <formula>R83=1</formula>
    </cfRule>
  </conditionalFormatting>
  <conditionalFormatting sqref="Q84">
    <cfRule type="expression" dxfId="19" priority="20">
      <formula>R84=1</formula>
    </cfRule>
  </conditionalFormatting>
  <conditionalFormatting sqref="Q85">
    <cfRule type="expression" dxfId="18" priority="19">
      <formula>R85=1</formula>
    </cfRule>
  </conditionalFormatting>
  <conditionalFormatting sqref="Q86">
    <cfRule type="expression" dxfId="17" priority="18">
      <formula>R86=1</formula>
    </cfRule>
  </conditionalFormatting>
  <conditionalFormatting sqref="Q87">
    <cfRule type="expression" dxfId="16" priority="17">
      <formula>R87=1</formula>
    </cfRule>
  </conditionalFormatting>
  <conditionalFormatting sqref="Q91">
    <cfRule type="expression" dxfId="15" priority="16">
      <formula>R91=1</formula>
    </cfRule>
  </conditionalFormatting>
  <conditionalFormatting sqref="Q92">
    <cfRule type="expression" dxfId="14" priority="15">
      <formula>R92=1</formula>
    </cfRule>
  </conditionalFormatting>
  <conditionalFormatting sqref="Q93">
    <cfRule type="expression" dxfId="13" priority="14">
      <formula>R93=1</formula>
    </cfRule>
  </conditionalFormatting>
  <conditionalFormatting sqref="Q94">
    <cfRule type="expression" dxfId="12" priority="13">
      <formula>R94=1</formula>
    </cfRule>
  </conditionalFormatting>
  <conditionalFormatting sqref="Q95">
    <cfRule type="expression" dxfId="11" priority="12">
      <formula>R95=1</formula>
    </cfRule>
  </conditionalFormatting>
  <conditionalFormatting sqref="Q96">
    <cfRule type="expression" dxfId="10" priority="11">
      <formula>R96=1</formula>
    </cfRule>
  </conditionalFormatting>
  <conditionalFormatting sqref="Q97">
    <cfRule type="expression" dxfId="9" priority="10">
      <formula>R97=1</formula>
    </cfRule>
  </conditionalFormatting>
  <conditionalFormatting sqref="Q98">
    <cfRule type="expression" dxfId="8" priority="9">
      <formula>R98=1</formula>
    </cfRule>
  </conditionalFormatting>
  <conditionalFormatting sqref="Q102">
    <cfRule type="expression" dxfId="7" priority="8">
      <formula>R102=1</formula>
    </cfRule>
  </conditionalFormatting>
  <conditionalFormatting sqref="Q103">
    <cfRule type="expression" dxfId="6" priority="7">
      <formula>R103=1</formula>
    </cfRule>
  </conditionalFormatting>
  <conditionalFormatting sqref="Q104">
    <cfRule type="expression" dxfId="5" priority="6">
      <formula>R104=1</formula>
    </cfRule>
  </conditionalFormatting>
  <conditionalFormatting sqref="Q105">
    <cfRule type="expression" dxfId="4" priority="5">
      <formula>R105=1</formula>
    </cfRule>
  </conditionalFormatting>
  <conditionalFormatting sqref="Q107">
    <cfRule type="expression" dxfId="3" priority="4">
      <formula>R107=1</formula>
    </cfRule>
  </conditionalFormatting>
  <conditionalFormatting sqref="Q106">
    <cfRule type="expression" dxfId="2" priority="3">
      <formula>R106=1</formula>
    </cfRule>
  </conditionalFormatting>
  <conditionalFormatting sqref="Q108">
    <cfRule type="expression" dxfId="1" priority="2">
      <formula>R108=1</formula>
    </cfRule>
  </conditionalFormatting>
  <conditionalFormatting sqref="Q109">
    <cfRule type="expression" dxfId="0" priority="1">
      <formula>R109=1</formula>
    </cfRule>
  </conditionalFormatting>
  <pageMargins left="0.7" right="0.7" top="0.75" bottom="0.75" header="0.3" footer="0.3"/>
  <pageSetup paperSize="9" orientation="portrait" r:id="rId1"/>
  <ignoredErrors>
    <ignoredError sqref="I19 H35:Q35 G46:R109 H37:Q43 I36:Q36 H24:O24 Q24" formula="1"/>
  </ignoredErrors>
</worksheet>
</file>

<file path=xl/worksheets/sheet19.xml><?xml version="1.0" encoding="utf-8"?>
<worksheet xmlns="http://schemas.openxmlformats.org/spreadsheetml/2006/main" xmlns:r="http://schemas.openxmlformats.org/officeDocument/2006/relationships">
  <sheetPr>
    <tabColor rgb="FF00B0F0"/>
  </sheetPr>
  <dimension ref="A1:BZ178"/>
  <sheetViews>
    <sheetView zoomScale="70" zoomScaleNormal="70" workbookViewId="0"/>
  </sheetViews>
  <sheetFormatPr defaultColWidth="0" defaultRowHeight="15" customHeight="1" zeroHeight="1"/>
  <cols>
    <col min="1" max="1" width="2" style="315" customWidth="1"/>
    <col min="2" max="2" width="10.5703125" style="315" customWidth="1"/>
    <col min="3" max="3" width="24" style="315" customWidth="1"/>
    <col min="4" max="7" width="11.7109375" style="315" customWidth="1"/>
    <col min="8" max="8" width="11" style="315" customWidth="1"/>
    <col min="9" max="9" width="10.7109375" style="315" bestFit="1" customWidth="1"/>
    <col min="10" max="11" width="11.7109375" style="315" customWidth="1"/>
    <col min="12" max="12" width="3.7109375" style="315" customWidth="1"/>
    <col min="13" max="13" width="10.140625" style="315" bestFit="1" customWidth="1"/>
    <col min="14" max="14" width="10.7109375" style="315" bestFit="1" customWidth="1"/>
    <col min="15" max="15" width="10.28515625" style="315" bestFit="1" customWidth="1"/>
    <col min="16" max="19" width="10.7109375" style="315" bestFit="1" customWidth="1"/>
    <col min="20" max="20" width="3.140625" style="315" customWidth="1"/>
    <col min="21" max="21" width="22" style="315" bestFit="1" customWidth="1"/>
    <col min="22" max="69" width="11.85546875" style="314" customWidth="1"/>
    <col min="70" max="70" width="8.85546875" style="314" customWidth="1"/>
    <col min="71" max="78" width="8.85546875" style="314" hidden="1" customWidth="1"/>
    <col min="79" max="16384" width="8.85546875" style="315" hidden="1"/>
  </cols>
  <sheetData>
    <row r="1" spans="1:78" ht="15" customHeight="1">
      <c r="B1" s="333" t="s">
        <v>326</v>
      </c>
      <c r="D1" s="969">
        <f>COUNTA('I1'!F35:'I1'!P35)</f>
        <v>0</v>
      </c>
      <c r="V1" s="462" t="s">
        <v>404</v>
      </c>
      <c r="W1" s="342"/>
      <c r="X1" s="315"/>
      <c r="Y1" s="315"/>
      <c r="Z1" s="315"/>
      <c r="AA1" s="346"/>
      <c r="AG1" s="346"/>
      <c r="AH1" s="315"/>
      <c r="AI1" s="315"/>
      <c r="AJ1" s="315"/>
      <c r="AK1" s="315"/>
      <c r="AL1" s="315"/>
      <c r="AM1" s="346"/>
      <c r="AN1" s="315"/>
      <c r="AO1" s="315"/>
      <c r="AP1" s="315"/>
      <c r="AQ1" s="315"/>
      <c r="AR1" s="315"/>
      <c r="AS1" s="346"/>
      <c r="AT1" s="315"/>
      <c r="AU1" s="315"/>
      <c r="AV1" s="315"/>
      <c r="AW1" s="315"/>
      <c r="AX1" s="315"/>
      <c r="AY1" s="346"/>
      <c r="AZ1" s="315"/>
      <c r="BA1" s="315"/>
      <c r="BB1" s="315"/>
      <c r="BC1" s="315"/>
      <c r="BD1" s="315"/>
      <c r="BE1" s="346"/>
      <c r="BF1" s="315"/>
      <c r="BG1" s="315"/>
      <c r="BH1" s="315"/>
      <c r="BI1" s="315"/>
      <c r="BJ1" s="315"/>
      <c r="BK1" s="315"/>
      <c r="BL1" s="315"/>
      <c r="BM1" s="315"/>
      <c r="BN1" s="315"/>
      <c r="BO1" s="315"/>
      <c r="BP1" s="315"/>
      <c r="BQ1" s="315"/>
      <c r="BR1" s="315"/>
      <c r="BS1" s="315"/>
      <c r="BT1" s="315"/>
      <c r="BU1" s="315"/>
      <c r="BV1" s="315"/>
      <c r="BW1" s="315"/>
      <c r="BX1" s="315"/>
      <c r="BY1" s="315"/>
      <c r="BZ1" s="315"/>
    </row>
    <row r="2" spans="1:78" ht="15" customHeight="1">
      <c r="N2" s="333" t="s">
        <v>46</v>
      </c>
      <c r="V2" s="462" t="s">
        <v>162</v>
      </c>
      <c r="W2" s="342"/>
      <c r="AA2" s="346"/>
      <c r="AB2" s="342" t="s">
        <v>163</v>
      </c>
      <c r="AC2" s="342"/>
      <c r="AG2" s="346"/>
      <c r="AH2" s="333" t="s">
        <v>164</v>
      </c>
      <c r="AI2" s="333"/>
      <c r="AJ2" s="315"/>
      <c r="AK2" s="315"/>
      <c r="AL2" s="315"/>
      <c r="AM2" s="346"/>
      <c r="AN2" s="333" t="s">
        <v>165</v>
      </c>
      <c r="AO2" s="333"/>
      <c r="AP2" s="315"/>
      <c r="AQ2" s="315"/>
      <c r="AR2" s="315"/>
      <c r="AS2" s="346"/>
      <c r="AT2" s="333" t="s">
        <v>166</v>
      </c>
      <c r="AU2" s="333"/>
      <c r="AV2" s="315"/>
      <c r="AW2" s="315"/>
      <c r="AX2" s="315"/>
      <c r="AY2" s="346"/>
      <c r="AZ2" s="333" t="s">
        <v>167</v>
      </c>
      <c r="BA2" s="333"/>
      <c r="BB2" s="315"/>
      <c r="BC2" s="315"/>
      <c r="BD2" s="315"/>
      <c r="BE2" s="346"/>
      <c r="BF2" s="333" t="s">
        <v>168</v>
      </c>
      <c r="BG2" s="333"/>
      <c r="BH2" s="315"/>
      <c r="BI2" s="315"/>
      <c r="BJ2" s="315"/>
      <c r="BK2" s="315"/>
      <c r="BL2" s="333" t="s">
        <v>169</v>
      </c>
      <c r="BM2" s="333"/>
      <c r="BN2" s="315"/>
      <c r="BO2" s="315"/>
      <c r="BP2" s="315"/>
      <c r="BQ2" s="315"/>
      <c r="BR2" s="315"/>
      <c r="BS2" s="315"/>
      <c r="BT2" s="315"/>
      <c r="BU2" s="315"/>
      <c r="BV2" s="315"/>
      <c r="BW2" s="315"/>
      <c r="BX2" s="315"/>
      <c r="BY2" s="315"/>
      <c r="BZ2" s="333"/>
    </row>
    <row r="3" spans="1:78" ht="15" customHeight="1">
      <c r="A3" s="334"/>
      <c r="B3" s="334"/>
      <c r="C3" s="334"/>
      <c r="D3" s="335" t="s">
        <v>512</v>
      </c>
      <c r="E3" s="335" t="s">
        <v>5</v>
      </c>
      <c r="F3" s="335" t="s">
        <v>6</v>
      </c>
      <c r="G3" s="335" t="s">
        <v>7</v>
      </c>
      <c r="H3" s="335" t="s">
        <v>8</v>
      </c>
      <c r="I3" s="335" t="s">
        <v>9</v>
      </c>
      <c r="J3" s="335" t="s">
        <v>320</v>
      </c>
      <c r="K3" s="335" t="s">
        <v>321</v>
      </c>
      <c r="L3" s="314"/>
      <c r="M3" s="483" t="s">
        <v>327</v>
      </c>
      <c r="N3" s="335" t="s">
        <v>512</v>
      </c>
      <c r="O3" s="335" t="s">
        <v>5</v>
      </c>
      <c r="P3" s="335" t="s">
        <v>6</v>
      </c>
      <c r="Q3" s="335" t="s">
        <v>7</v>
      </c>
      <c r="R3" s="335" t="s">
        <v>8</v>
      </c>
      <c r="S3" s="335" t="s">
        <v>9</v>
      </c>
      <c r="T3" s="483"/>
      <c r="U3" s="314"/>
      <c r="V3" s="335" t="s">
        <v>512</v>
      </c>
      <c r="W3" s="335" t="s">
        <v>5</v>
      </c>
      <c r="X3" s="335" t="s">
        <v>6</v>
      </c>
      <c r="Y3" s="335" t="s">
        <v>7</v>
      </c>
      <c r="Z3" s="335" t="s">
        <v>8</v>
      </c>
      <c r="AA3" s="335" t="s">
        <v>9</v>
      </c>
      <c r="AB3" s="335" t="s">
        <v>512</v>
      </c>
      <c r="AC3" s="335" t="s">
        <v>5</v>
      </c>
      <c r="AD3" s="335" t="s">
        <v>6</v>
      </c>
      <c r="AE3" s="335" t="s">
        <v>7</v>
      </c>
      <c r="AF3" s="335" t="s">
        <v>8</v>
      </c>
      <c r="AG3" s="335" t="s">
        <v>9</v>
      </c>
      <c r="AH3" s="335" t="s">
        <v>512</v>
      </c>
      <c r="AI3" s="335" t="s">
        <v>5</v>
      </c>
      <c r="AJ3" s="335" t="s">
        <v>6</v>
      </c>
      <c r="AK3" s="335" t="s">
        <v>7</v>
      </c>
      <c r="AL3" s="335" t="s">
        <v>8</v>
      </c>
      <c r="AM3" s="335" t="s">
        <v>9</v>
      </c>
      <c r="AN3" s="335" t="s">
        <v>512</v>
      </c>
      <c r="AO3" s="335" t="s">
        <v>5</v>
      </c>
      <c r="AP3" s="335" t="s">
        <v>6</v>
      </c>
      <c r="AQ3" s="335" t="s">
        <v>7</v>
      </c>
      <c r="AR3" s="335" t="s">
        <v>8</v>
      </c>
      <c r="AS3" s="335" t="s">
        <v>9</v>
      </c>
      <c r="AT3" s="335" t="s">
        <v>512</v>
      </c>
      <c r="AU3" s="335" t="s">
        <v>5</v>
      </c>
      <c r="AV3" s="335" t="s">
        <v>6</v>
      </c>
      <c r="AW3" s="335" t="s">
        <v>7</v>
      </c>
      <c r="AX3" s="335" t="s">
        <v>8</v>
      </c>
      <c r="AY3" s="335" t="s">
        <v>9</v>
      </c>
      <c r="AZ3" s="335" t="s">
        <v>512</v>
      </c>
      <c r="BA3" s="335" t="s">
        <v>5</v>
      </c>
      <c r="BB3" s="335" t="s">
        <v>6</v>
      </c>
      <c r="BC3" s="335" t="s">
        <v>7</v>
      </c>
      <c r="BD3" s="335" t="s">
        <v>8</v>
      </c>
      <c r="BE3" s="335" t="s">
        <v>9</v>
      </c>
      <c r="BF3" s="335" t="s">
        <v>512</v>
      </c>
      <c r="BG3" s="335" t="s">
        <v>5</v>
      </c>
      <c r="BH3" s="335" t="s">
        <v>6</v>
      </c>
      <c r="BI3" s="335" t="s">
        <v>7</v>
      </c>
      <c r="BJ3" s="335" t="s">
        <v>8</v>
      </c>
      <c r="BK3" s="335" t="s">
        <v>9</v>
      </c>
      <c r="BL3" s="335" t="s">
        <v>512</v>
      </c>
      <c r="BM3" s="335" t="s">
        <v>5</v>
      </c>
      <c r="BN3" s="335" t="s">
        <v>6</v>
      </c>
      <c r="BO3" s="335" t="s">
        <v>7</v>
      </c>
      <c r="BP3" s="335" t="s">
        <v>8</v>
      </c>
      <c r="BQ3" s="335" t="s">
        <v>9</v>
      </c>
      <c r="BR3" s="315"/>
      <c r="BS3" s="315"/>
      <c r="BT3" s="315"/>
      <c r="BU3" s="315"/>
      <c r="BV3" s="315"/>
      <c r="BW3" s="315"/>
      <c r="BX3" s="315"/>
      <c r="BY3" s="315"/>
      <c r="BZ3" s="315"/>
    </row>
    <row r="4" spans="1:78" ht="15" customHeight="1">
      <c r="A4" s="336"/>
      <c r="B4" s="336"/>
      <c r="C4" s="336"/>
      <c r="D4" s="232"/>
      <c r="E4" s="232"/>
      <c r="F4" s="232"/>
      <c r="G4" s="232"/>
      <c r="H4" s="232"/>
      <c r="I4" s="232"/>
      <c r="J4" s="232"/>
      <c r="K4" s="232"/>
      <c r="L4" s="314"/>
      <c r="N4" s="314"/>
      <c r="O4" s="314"/>
      <c r="P4" s="314"/>
      <c r="U4" s="314"/>
      <c r="V4" s="428"/>
      <c r="AA4" s="346"/>
      <c r="AB4" s="428"/>
      <c r="AG4" s="346"/>
      <c r="AH4" s="428"/>
      <c r="AM4" s="346"/>
      <c r="AN4" s="428"/>
      <c r="AS4" s="346"/>
      <c r="AT4" s="428"/>
      <c r="AY4" s="346"/>
      <c r="AZ4" s="428"/>
      <c r="BE4" s="346"/>
      <c r="BF4" s="428"/>
      <c r="BK4" s="346"/>
      <c r="BL4" s="428"/>
      <c r="BQ4" s="346"/>
      <c r="BR4" s="315"/>
      <c r="BS4" s="315"/>
      <c r="BT4" s="315"/>
      <c r="BU4" s="315"/>
      <c r="BV4" s="315"/>
      <c r="BW4" s="315"/>
      <c r="BX4" s="315"/>
      <c r="BY4" s="315"/>
      <c r="BZ4" s="315"/>
    </row>
    <row r="5" spans="1:78" ht="15" customHeight="1">
      <c r="A5" s="337" t="s">
        <v>133</v>
      </c>
      <c r="B5" s="337"/>
      <c r="C5" s="338"/>
      <c r="D5" s="484">
        <f>PTAout!H41</f>
        <v>0</v>
      </c>
      <c r="E5" s="484" t="str">
        <f>PTAout!L41</f>
        <v/>
      </c>
      <c r="F5" s="484" t="str">
        <f>PTAout!Q41</f>
        <v/>
      </c>
      <c r="G5" s="484" t="str">
        <f>PTAout!V41</f>
        <v/>
      </c>
      <c r="H5" s="484" t="str">
        <f>PTAout!AA41</f>
        <v/>
      </c>
      <c r="I5" s="339" t="str">
        <f>PTAout!AF41</f>
        <v/>
      </c>
      <c r="J5" s="484">
        <f>IF(MCAin!O21="","",MCAin!O21)</f>
        <v>1000</v>
      </c>
      <c r="K5" s="484">
        <f>IF(MCAin!P21="","",MCAin!P21)</f>
        <v>0</v>
      </c>
      <c r="L5" s="314"/>
      <c r="M5" s="534" t="str">
        <f>IF(AND(COUNTIF(D5:I5,"&gt;=0")=$D$1,J5&gt;=0,K5&gt;=0,MCAin!$Q21=""),1,"")</f>
        <v/>
      </c>
      <c r="N5" s="343" t="str">
        <f>IF(OR($M5&lt;&gt;1,D5=""),"",(D5-$J5)/($K5-$J5))</f>
        <v/>
      </c>
      <c r="O5" s="343" t="str">
        <f t="shared" ref="N5:S6" si="0">IF(OR($M5&lt;&gt;1,E5=""),"",(E5-$J5)/($K5-$J5))</f>
        <v/>
      </c>
      <c r="P5" s="343" t="str">
        <f t="shared" si="0"/>
        <v/>
      </c>
      <c r="Q5" s="343" t="str">
        <f t="shared" si="0"/>
        <v/>
      </c>
      <c r="R5" s="343" t="str">
        <f t="shared" si="0"/>
        <v/>
      </c>
      <c r="S5" s="343" t="str">
        <f t="shared" si="0"/>
        <v/>
      </c>
      <c r="T5" s="343"/>
      <c r="U5" s="344"/>
      <c r="V5" s="463" t="str">
        <f>IF($N5="","",MCAin!$R21*$N5)</f>
        <v/>
      </c>
      <c r="W5" s="345" t="str">
        <f>IF($O5="","",MCAin!$R21*$O5)</f>
        <v/>
      </c>
      <c r="X5" s="345" t="str">
        <f>IF($P5="","",MCAin!$R21*$P5)</f>
        <v/>
      </c>
      <c r="Y5" s="345" t="str">
        <f>IF($Q5="","",MCAin!$R21*$Q5)</f>
        <v/>
      </c>
      <c r="Z5" s="345" t="str">
        <f>IF($R5="","",MCAin!$R21*$R5)</f>
        <v/>
      </c>
      <c r="AA5" s="347" t="str">
        <f>IF($S5="","",MCAin!$R21*$S5)</f>
        <v/>
      </c>
      <c r="AB5" s="463" t="str">
        <f>IF($N5="","",MCAin!$S21*$N5)</f>
        <v/>
      </c>
      <c r="AC5" s="345" t="str">
        <f>IF($O5="","",MCAin!$S21*$O5)</f>
        <v/>
      </c>
      <c r="AD5" s="345" t="str">
        <f>IF($P5="","",MCAin!$S21*$P5)</f>
        <v/>
      </c>
      <c r="AE5" s="345" t="str">
        <f>IF($Q5="","",MCAin!$R21*$Q5)</f>
        <v/>
      </c>
      <c r="AF5" s="345" t="str">
        <f>IF($R5="","",MCAin!$R21*$R5)</f>
        <v/>
      </c>
      <c r="AG5" s="347" t="str">
        <f>IF($S5="","",MCAin!$S21*$S5)</f>
        <v/>
      </c>
      <c r="AH5" s="463" t="str">
        <f>IF($N5="","",MCAin!$T21*$N5)</f>
        <v/>
      </c>
      <c r="AI5" s="345" t="str">
        <f>IF($O5="","",MCAin!$T21*$O5)</f>
        <v/>
      </c>
      <c r="AJ5" s="345" t="str">
        <f>IF($P5="","",MCAin!$T21*$P5)</f>
        <v/>
      </c>
      <c r="AK5" s="345" t="str">
        <f>IF($Q5="","",MCAin!$T21*$Q5)</f>
        <v/>
      </c>
      <c r="AL5" s="345" t="str">
        <f>IF($R5="","",MCAin!$R21*$R5)</f>
        <v/>
      </c>
      <c r="AM5" s="347" t="str">
        <f>IF($S5="","",MCAin!$S21*$S5)</f>
        <v/>
      </c>
      <c r="AN5" s="463" t="str">
        <f>IF($N5="","",MCAin!$U21*$N5)</f>
        <v/>
      </c>
      <c r="AO5" s="345" t="str">
        <f>IF($O5="","",MCAin!$U21*$O5)</f>
        <v/>
      </c>
      <c r="AP5" s="345" t="str">
        <f>IF($P5="","",MCAin!$U21*$P5)</f>
        <v/>
      </c>
      <c r="AQ5" s="345" t="str">
        <f>IF($Q5="","",MCAin!$U21*$Q5)</f>
        <v/>
      </c>
      <c r="AR5" s="345" t="str">
        <f>IF($R5="","",MCAin!$U21*$R5)</f>
        <v/>
      </c>
      <c r="AS5" s="347" t="str">
        <f>IF($S5="","",MCAin!$U21*$S5)</f>
        <v/>
      </c>
      <c r="AT5" s="463" t="str">
        <f>IF($N5="","",MCAin!$V21*$N5)</f>
        <v/>
      </c>
      <c r="AU5" s="345" t="str">
        <f>IF($O5="","",MCAin!$V21*$O5)</f>
        <v/>
      </c>
      <c r="AV5" s="345" t="str">
        <f>IF($P5="","",MCAin!$V21*$P5)</f>
        <v/>
      </c>
      <c r="AW5" s="345" t="str">
        <f>IF($Q5="","",MCAin!$V21*$Q5)</f>
        <v/>
      </c>
      <c r="AX5" s="345" t="str">
        <f>IF($R5="","",MCAin!$V21*$R5)</f>
        <v/>
      </c>
      <c r="AY5" s="347" t="str">
        <f>IF($S5="","",MCAin!$V21*$S5)</f>
        <v/>
      </c>
      <c r="AZ5" s="463" t="str">
        <f>IF($N5="","",MCAin!$W21*$N5)</f>
        <v/>
      </c>
      <c r="BA5" s="345" t="str">
        <f>IF($O5="","",MCAin!$W21*$O5)</f>
        <v/>
      </c>
      <c r="BB5" s="345" t="str">
        <f>IF($P5="","",MCAin!$W21*$P5)</f>
        <v/>
      </c>
      <c r="BC5" s="345" t="str">
        <f>IF($Q5="","",MCAin!$W21*$Q5)</f>
        <v/>
      </c>
      <c r="BD5" s="345" t="str">
        <f>IF($R5="","",MCAin!$W21*$R5)</f>
        <v/>
      </c>
      <c r="BE5" s="347" t="str">
        <f>IF($S5="","",MCAin!$W21*$S5)</f>
        <v/>
      </c>
      <c r="BF5" s="463" t="str">
        <f>IF($N5="","",MCAin!$X21*$N5)</f>
        <v/>
      </c>
      <c r="BG5" s="345" t="str">
        <f>IF($O5="","",MCAin!$X21*$O5)</f>
        <v/>
      </c>
      <c r="BH5" s="345" t="str">
        <f>IF($P5="","",MCAin!$X21*$P5)</f>
        <v/>
      </c>
      <c r="BI5" s="345" t="str">
        <f>IF($Q5="","",MCAin!$X21*$Q5)</f>
        <v/>
      </c>
      <c r="BJ5" s="345" t="str">
        <f>IF($R5="","",MCAin!$X21*$R5)</f>
        <v/>
      </c>
      <c r="BK5" s="347" t="str">
        <f>IF($S5="","",MCAin!$X21*$S5)</f>
        <v/>
      </c>
      <c r="BL5" s="463" t="str">
        <f>IF($N5="","",MCAin!$Y21*$N5)</f>
        <v/>
      </c>
      <c r="BM5" s="345" t="str">
        <f>IF($O5="","",MCAin!$Y21*$O5)</f>
        <v/>
      </c>
      <c r="BN5" s="345" t="str">
        <f>IF($P5="","",MCAin!$Y21*$P5)</f>
        <v/>
      </c>
      <c r="BO5" s="345" t="str">
        <f>IF($Q5="","",MCAin!$Y21*$Q5)</f>
        <v/>
      </c>
      <c r="BP5" s="345" t="str">
        <f>IF($R5="","",MCAin!$Y21*$R5)</f>
        <v/>
      </c>
      <c r="BQ5" s="347" t="str">
        <f>IF($S5="","",MCAin!$Y21*$S5)</f>
        <v/>
      </c>
      <c r="BR5" s="315"/>
      <c r="BS5" s="315"/>
      <c r="BT5" s="315"/>
      <c r="BU5" s="315"/>
      <c r="BV5" s="315"/>
      <c r="BW5" s="315"/>
      <c r="BX5" s="315"/>
      <c r="BY5" s="315"/>
      <c r="BZ5" s="315"/>
    </row>
    <row r="6" spans="1:78" ht="15" customHeight="1">
      <c r="A6" s="337" t="s">
        <v>158</v>
      </c>
      <c r="B6" s="337"/>
      <c r="C6" s="338"/>
      <c r="D6" s="484" t="str">
        <f>PTAout!H42</f>
        <v/>
      </c>
      <c r="E6" s="484" t="str">
        <f>PTAout!L42</f>
        <v/>
      </c>
      <c r="F6" s="484" t="str">
        <f>PTAout!Q42</f>
        <v/>
      </c>
      <c r="G6" s="484" t="str">
        <f>PTAout!V42</f>
        <v/>
      </c>
      <c r="H6" s="484" t="str">
        <f>PTAout!AA42</f>
        <v/>
      </c>
      <c r="I6" s="484">
        <f>PTAout!AF42</f>
        <v>0</v>
      </c>
      <c r="J6" s="484">
        <f>IF(MCAin!O22="","",MCAin!O22)</f>
        <v>100</v>
      </c>
      <c r="K6" s="484">
        <f>IF(MCAin!P22="","",MCAin!P22)</f>
        <v>0</v>
      </c>
      <c r="L6" s="314"/>
      <c r="M6" s="534" t="str">
        <f>IF(AND(COUNTIF(D6:I6,"&gt;=0")=$D$1,J6&gt;=0,K6&gt;=0,MCAin!$Q22=""),1,"")</f>
        <v/>
      </c>
      <c r="N6" s="343" t="str">
        <f t="shared" si="0"/>
        <v/>
      </c>
      <c r="O6" s="343" t="str">
        <f t="shared" si="0"/>
        <v/>
      </c>
      <c r="P6" s="343" t="str">
        <f t="shared" si="0"/>
        <v/>
      </c>
      <c r="Q6" s="343" t="str">
        <f t="shared" si="0"/>
        <v/>
      </c>
      <c r="R6" s="343" t="str">
        <f t="shared" si="0"/>
        <v/>
      </c>
      <c r="S6" s="343" t="str">
        <f t="shared" si="0"/>
        <v/>
      </c>
      <c r="T6" s="343"/>
      <c r="U6" s="344"/>
      <c r="V6" s="463" t="str">
        <f>IF($N6="","",MCAin!$R22*$N6)</f>
        <v/>
      </c>
      <c r="W6" s="345" t="str">
        <f>IF($O6="","",MCAin!$R22*$O6)</f>
        <v/>
      </c>
      <c r="X6" s="345" t="str">
        <f>IF($P6="","",MCAin!$R22*$P6)</f>
        <v/>
      </c>
      <c r="Y6" s="345" t="str">
        <f>IF($Q6="","",MCAin!$R22*$Q6)</f>
        <v/>
      </c>
      <c r="Z6" s="345" t="str">
        <f>IF($R6="","",MCAin!$R22*$R6)</f>
        <v/>
      </c>
      <c r="AA6" s="347" t="str">
        <f>IF($S6="","",MCAin!$R22*$S6)</f>
        <v/>
      </c>
      <c r="AB6" s="463" t="str">
        <f>IF($N6="","",MCAin!$S22*$N6)</f>
        <v/>
      </c>
      <c r="AC6" s="345" t="str">
        <f>IF($O6="","",MCAin!$S22*$O6)</f>
        <v/>
      </c>
      <c r="AD6" s="345" t="str">
        <f>IF($P6="","",MCAin!$S22*$P6)</f>
        <v/>
      </c>
      <c r="AE6" s="345" t="str">
        <f>IF($Q6="","",MCAin!$R22*$Q6)</f>
        <v/>
      </c>
      <c r="AF6" s="345" t="str">
        <f>IF($R6="","",MCAin!$R22*$R6)</f>
        <v/>
      </c>
      <c r="AG6" s="347" t="str">
        <f>IF($S6="","",MCAin!$S22*$S6)</f>
        <v/>
      </c>
      <c r="AH6" s="463" t="str">
        <f>IF($N6="","",MCAin!$T22*$N6)</f>
        <v/>
      </c>
      <c r="AI6" s="345" t="str">
        <f>IF($O6="","",MCAin!$T22*$O6)</f>
        <v/>
      </c>
      <c r="AJ6" s="345" t="str">
        <f>IF($P6="","",MCAin!$T22*$P6)</f>
        <v/>
      </c>
      <c r="AK6" s="345" t="str">
        <f>IF($Q6="","",MCAin!$T22*$Q6)</f>
        <v/>
      </c>
      <c r="AL6" s="345" t="str">
        <f>IF($R6="","",MCAin!$R22*$R6)</f>
        <v/>
      </c>
      <c r="AM6" s="347" t="str">
        <f>IF($S6="","",MCAin!$S22*$S6)</f>
        <v/>
      </c>
      <c r="AN6" s="463" t="str">
        <f>IF($N6="","",MCAin!$U22*$N6)</f>
        <v/>
      </c>
      <c r="AO6" s="345" t="str">
        <f>IF($O6="","",MCAin!$U22*$O6)</f>
        <v/>
      </c>
      <c r="AP6" s="345" t="str">
        <f>IF($P6="","",MCAin!$U22*$P6)</f>
        <v/>
      </c>
      <c r="AQ6" s="345" t="str">
        <f>IF($Q6="","",MCAin!$U22*$Q6)</f>
        <v/>
      </c>
      <c r="AR6" s="345" t="str">
        <f>IF($R6="","",MCAin!$U22*$R6)</f>
        <v/>
      </c>
      <c r="AS6" s="347" t="str">
        <f>IF($S6="","",MCAin!$U22*$S6)</f>
        <v/>
      </c>
      <c r="AT6" s="463" t="str">
        <f>IF($N6="","",MCAin!$V22*$N6)</f>
        <v/>
      </c>
      <c r="AU6" s="345" t="str">
        <f>IF($O6="","",MCAin!$V22*$O6)</f>
        <v/>
      </c>
      <c r="AV6" s="345" t="str">
        <f>IF($P6="","",MCAin!$V22*$P6)</f>
        <v/>
      </c>
      <c r="AW6" s="345" t="str">
        <f>IF($Q6="","",MCAin!$V22*$Q6)</f>
        <v/>
      </c>
      <c r="AX6" s="345" t="str">
        <f>IF($R6="","",MCAin!$V22*$R6)</f>
        <v/>
      </c>
      <c r="AY6" s="347" t="str">
        <f>IF($S6="","",MCAin!$V22*$S6)</f>
        <v/>
      </c>
      <c r="AZ6" s="463" t="str">
        <f>IF($N6="","",MCAin!$W22*$N6)</f>
        <v/>
      </c>
      <c r="BA6" s="345" t="str">
        <f>IF($O6="","",MCAin!$W22*$O6)</f>
        <v/>
      </c>
      <c r="BB6" s="345" t="str">
        <f>IF($P6="","",MCAin!$W22*$P6)</f>
        <v/>
      </c>
      <c r="BC6" s="345" t="str">
        <f>IF($Q6="","",MCAin!$W22*$Q6)</f>
        <v/>
      </c>
      <c r="BD6" s="345" t="str">
        <f>IF($R6="","",MCAin!$W22*$R6)</f>
        <v/>
      </c>
      <c r="BE6" s="347" t="str">
        <f>IF($S6="","",MCAin!$W22*$S6)</f>
        <v/>
      </c>
      <c r="BF6" s="463" t="str">
        <f>IF($N6="","",MCAin!$X22*$N6)</f>
        <v/>
      </c>
      <c r="BG6" s="345" t="str">
        <f>IF($O6="","",MCAin!$X22*$O6)</f>
        <v/>
      </c>
      <c r="BH6" s="345" t="str">
        <f>IF($P6="","",MCAin!$X22*$P6)</f>
        <v/>
      </c>
      <c r="BI6" s="345" t="str">
        <f>IF($Q6="","",MCAin!$X22*$Q6)</f>
        <v/>
      </c>
      <c r="BJ6" s="345" t="str">
        <f>IF($R6="","",MCAin!$X22*$R6)</f>
        <v/>
      </c>
      <c r="BK6" s="347" t="str">
        <f>IF($S6="","",MCAin!$X22*$S6)</f>
        <v/>
      </c>
      <c r="BL6" s="463" t="str">
        <f>IF($N6="","",MCAin!$Y22*$N6)</f>
        <v/>
      </c>
      <c r="BM6" s="345" t="str">
        <f>IF($O6="","",MCAin!$Y22*$O6)</f>
        <v/>
      </c>
      <c r="BN6" s="345" t="str">
        <f>IF($P6="","",MCAin!$Y22*$P6)</f>
        <v/>
      </c>
      <c r="BO6" s="345" t="str">
        <f>IF($Q6="","",MCAin!$Y22*$Q6)</f>
        <v/>
      </c>
      <c r="BP6" s="345" t="str">
        <f>IF($R6="","",MCAin!$Y22*$R6)</f>
        <v/>
      </c>
      <c r="BQ6" s="347" t="str">
        <f>IF($S6="","",MCAin!$Y22*$S6)</f>
        <v/>
      </c>
      <c r="BR6" s="315"/>
      <c r="BS6" s="315"/>
      <c r="BT6" s="315"/>
      <c r="BU6" s="315"/>
      <c r="BV6" s="315"/>
      <c r="BW6" s="315"/>
      <c r="BX6" s="315"/>
      <c r="BY6" s="315"/>
      <c r="BZ6" s="315"/>
    </row>
    <row r="7" spans="1:78" ht="15" customHeight="1">
      <c r="A7" s="336"/>
      <c r="B7" s="336"/>
      <c r="C7" s="336"/>
      <c r="D7" s="232"/>
      <c r="E7" s="232"/>
      <c r="F7" s="232"/>
      <c r="G7" s="232"/>
      <c r="H7" s="232"/>
      <c r="I7" s="232"/>
      <c r="J7" s="485"/>
      <c r="K7" s="485"/>
      <c r="L7" s="314"/>
      <c r="M7" s="344"/>
      <c r="N7" s="344"/>
      <c r="O7" s="344"/>
      <c r="P7" s="344"/>
      <c r="Q7" s="344"/>
      <c r="R7" s="344"/>
      <c r="S7" s="344"/>
      <c r="T7" s="344"/>
      <c r="U7" s="344"/>
      <c r="V7" s="464"/>
      <c r="W7" s="344"/>
      <c r="X7" s="344"/>
      <c r="Y7" s="344"/>
      <c r="Z7" s="344"/>
      <c r="AA7" s="348"/>
      <c r="AB7" s="464"/>
      <c r="AC7" s="344"/>
      <c r="AD7" s="344"/>
      <c r="AE7" s="344"/>
      <c r="AF7" s="344"/>
      <c r="AG7" s="348"/>
      <c r="AH7" s="464"/>
      <c r="AI7" s="344"/>
      <c r="AJ7" s="344"/>
      <c r="AK7" s="344"/>
      <c r="AL7" s="344"/>
      <c r="AM7" s="348"/>
      <c r="AN7" s="464"/>
      <c r="AO7" s="344"/>
      <c r="AP7" s="344"/>
      <c r="AQ7" s="344"/>
      <c r="AR7" s="344"/>
      <c r="AS7" s="348"/>
      <c r="AT7" s="464"/>
      <c r="AU7" s="344"/>
      <c r="AV7" s="344"/>
      <c r="AW7" s="344"/>
      <c r="AX7" s="344"/>
      <c r="AY7" s="348"/>
      <c r="AZ7" s="464"/>
      <c r="BA7" s="344"/>
      <c r="BB7" s="344"/>
      <c r="BC7" s="344"/>
      <c r="BD7" s="344"/>
      <c r="BE7" s="348"/>
      <c r="BF7" s="464"/>
      <c r="BG7" s="344"/>
      <c r="BH7" s="344"/>
      <c r="BI7" s="344"/>
      <c r="BJ7" s="344"/>
      <c r="BK7" s="348"/>
      <c r="BL7" s="464"/>
      <c r="BM7" s="344"/>
      <c r="BN7" s="344"/>
      <c r="BO7" s="344"/>
      <c r="BP7" s="344"/>
      <c r="BQ7" s="348"/>
      <c r="BR7" s="315"/>
      <c r="BS7" s="315"/>
      <c r="BT7" s="315"/>
      <c r="BU7" s="315"/>
      <c r="BV7" s="315"/>
      <c r="BW7" s="315"/>
      <c r="BX7" s="315"/>
      <c r="BY7" s="315"/>
      <c r="BZ7" s="315"/>
    </row>
    <row r="8" spans="1:78" ht="15" customHeight="1">
      <c r="A8" s="310" t="str">
        <f>PTAout!C44</f>
        <v>Link function</v>
      </c>
      <c r="B8" s="311"/>
      <c r="C8" s="312"/>
      <c r="D8" s="313"/>
      <c r="E8" s="313"/>
      <c r="F8" s="313"/>
      <c r="G8" s="313"/>
      <c r="H8" s="313"/>
      <c r="I8" s="313"/>
      <c r="J8" s="486"/>
      <c r="K8" s="486"/>
      <c r="L8" s="314"/>
      <c r="M8" s="344"/>
      <c r="N8" s="491"/>
      <c r="O8" s="491"/>
      <c r="P8" s="491"/>
      <c r="Q8" s="491"/>
      <c r="R8" s="491"/>
      <c r="S8" s="491"/>
      <c r="T8" s="344"/>
      <c r="U8" s="344"/>
      <c r="V8" s="493"/>
      <c r="W8" s="491"/>
      <c r="X8" s="491"/>
      <c r="Y8" s="491"/>
      <c r="Z8" s="491"/>
      <c r="AA8" s="494"/>
      <c r="AB8" s="493"/>
      <c r="AC8" s="491"/>
      <c r="AD8" s="491"/>
      <c r="AE8" s="491"/>
      <c r="AF8" s="491"/>
      <c r="AG8" s="494"/>
      <c r="AH8" s="493"/>
      <c r="AI8" s="491"/>
      <c r="AJ8" s="491"/>
      <c r="AK8" s="491"/>
      <c r="AL8" s="491"/>
      <c r="AM8" s="494"/>
      <c r="AN8" s="493"/>
      <c r="AO8" s="491"/>
      <c r="AP8" s="491"/>
      <c r="AQ8" s="491"/>
      <c r="AR8" s="491"/>
      <c r="AS8" s="494"/>
      <c r="AT8" s="493"/>
      <c r="AU8" s="491"/>
      <c r="AV8" s="491"/>
      <c r="AW8" s="491"/>
      <c r="AX8" s="491"/>
      <c r="AY8" s="494"/>
      <c r="AZ8" s="493"/>
      <c r="BA8" s="491"/>
      <c r="BB8" s="491"/>
      <c r="BC8" s="491"/>
      <c r="BD8" s="491"/>
      <c r="BE8" s="494"/>
      <c r="BF8" s="493"/>
      <c r="BG8" s="491"/>
      <c r="BH8" s="491"/>
      <c r="BI8" s="491"/>
      <c r="BJ8" s="491"/>
      <c r="BK8" s="494"/>
      <c r="BL8" s="493"/>
      <c r="BM8" s="491"/>
      <c r="BN8" s="491"/>
      <c r="BO8" s="491"/>
      <c r="BP8" s="491"/>
      <c r="BQ8" s="494"/>
      <c r="BR8" s="315"/>
      <c r="BS8" s="315"/>
      <c r="BT8" s="315"/>
      <c r="BU8" s="315"/>
      <c r="BV8" s="315"/>
      <c r="BW8" s="315"/>
      <c r="BX8" s="315"/>
      <c r="BY8" s="315"/>
      <c r="BZ8" s="315"/>
    </row>
    <row r="9" spans="1:78" ht="15" customHeight="1">
      <c r="A9" s="498" t="str">
        <f>PTAout!C45</f>
        <v>Pedestrians</v>
      </c>
      <c r="B9" s="499"/>
      <c r="C9" s="500"/>
      <c r="D9" s="501"/>
      <c r="E9" s="501"/>
      <c r="F9" s="501"/>
      <c r="G9" s="501"/>
      <c r="H9" s="501"/>
      <c r="I9" s="501"/>
      <c r="J9" s="502"/>
      <c r="K9" s="502"/>
      <c r="L9" s="503"/>
      <c r="M9" s="504"/>
      <c r="N9" s="504"/>
      <c r="O9" s="504"/>
      <c r="P9" s="504"/>
      <c r="Q9" s="504"/>
      <c r="R9" s="504"/>
      <c r="S9" s="504"/>
      <c r="T9" s="504"/>
      <c r="U9" s="504"/>
      <c r="V9" s="505"/>
      <c r="W9" s="504"/>
      <c r="X9" s="504"/>
      <c r="Y9" s="504"/>
      <c r="Z9" s="504"/>
      <c r="AA9" s="506"/>
      <c r="AB9" s="505"/>
      <c r="AC9" s="504"/>
      <c r="AD9" s="504"/>
      <c r="AE9" s="504"/>
      <c r="AF9" s="504"/>
      <c r="AG9" s="506"/>
      <c r="AH9" s="505"/>
      <c r="AI9" s="504"/>
      <c r="AJ9" s="504"/>
      <c r="AK9" s="504"/>
      <c r="AL9" s="504"/>
      <c r="AM9" s="506"/>
      <c r="AN9" s="505"/>
      <c r="AO9" s="504"/>
      <c r="AP9" s="504"/>
      <c r="AQ9" s="504"/>
      <c r="AR9" s="504"/>
      <c r="AS9" s="506"/>
      <c r="AT9" s="505"/>
      <c r="AU9" s="504"/>
      <c r="AV9" s="504"/>
      <c r="AW9" s="504"/>
      <c r="AX9" s="504"/>
      <c r="AY9" s="506"/>
      <c r="AZ9" s="505"/>
      <c r="BA9" s="504"/>
      <c r="BB9" s="504"/>
      <c r="BC9" s="504"/>
      <c r="BD9" s="504"/>
      <c r="BE9" s="506"/>
      <c r="BF9" s="505"/>
      <c r="BG9" s="504"/>
      <c r="BH9" s="504"/>
      <c r="BI9" s="504"/>
      <c r="BJ9" s="504"/>
      <c r="BK9" s="506"/>
      <c r="BL9" s="505"/>
      <c r="BM9" s="504"/>
      <c r="BN9" s="504"/>
      <c r="BO9" s="504"/>
      <c r="BP9" s="504"/>
      <c r="BQ9" s="506"/>
      <c r="BR9" s="315"/>
      <c r="BS9" s="315"/>
      <c r="BT9" s="315"/>
      <c r="BU9" s="315"/>
      <c r="BV9" s="315"/>
      <c r="BW9" s="315"/>
      <c r="BX9" s="315"/>
      <c r="BY9" s="315"/>
      <c r="BZ9" s="315"/>
    </row>
    <row r="10" spans="1:78" ht="15" customHeight="1">
      <c r="A10" s="314"/>
      <c r="B10" s="110" t="str">
        <f>PTAout!D46</f>
        <v>Space</v>
      </c>
      <c r="C10" s="316"/>
      <c r="D10" s="327" t="str">
        <f>PTAout!H46</f>
        <v/>
      </c>
      <c r="E10" s="327" t="str">
        <f>PTAout!L46</f>
        <v/>
      </c>
      <c r="F10" s="327" t="str">
        <f>PTAout!Q46</f>
        <v/>
      </c>
      <c r="G10" s="327" t="str">
        <f>PTAout!V46</f>
        <v/>
      </c>
      <c r="H10" s="327" t="str">
        <f>PTAout!AA46</f>
        <v/>
      </c>
      <c r="I10" s="318" t="str">
        <f>PTAout!AF46</f>
        <v/>
      </c>
      <c r="J10" s="484">
        <f>IF(MCAin!O26="","",MCAin!O26)</f>
        <v>0</v>
      </c>
      <c r="K10" s="484">
        <f>IF(MCAin!P26="","",MCAin!P26)</f>
        <v>18</v>
      </c>
      <c r="L10" s="314"/>
      <c r="M10" s="534" t="str">
        <f>IF(AND(COUNTIF(D10:I10,"&gt;=0")=$D$1,J10&gt;=0,K10&gt;=0,MCAin!$Q26=""),1,"")</f>
        <v/>
      </c>
      <c r="N10" s="343" t="str">
        <f t="shared" ref="N10:S16" si="1">IF(OR($M10&lt;&gt;1,D10=""),"",(D10-$J10)/($K10-$J10))</f>
        <v/>
      </c>
      <c r="O10" s="343" t="str">
        <f t="shared" si="1"/>
        <v/>
      </c>
      <c r="P10" s="343" t="str">
        <f t="shared" si="1"/>
        <v/>
      </c>
      <c r="Q10" s="343" t="str">
        <f t="shared" si="1"/>
        <v/>
      </c>
      <c r="R10" s="343" t="str">
        <f t="shared" si="1"/>
        <v/>
      </c>
      <c r="S10" s="343" t="str">
        <f t="shared" si="1"/>
        <v/>
      </c>
      <c r="T10" s="343"/>
      <c r="U10" s="344"/>
      <c r="V10" s="463" t="str">
        <f>IF($N10="","",MCAin!$R26*$N10)</f>
        <v/>
      </c>
      <c r="W10" s="345" t="str">
        <f>IF($O10="","",MCAin!$R26*$O10)</f>
        <v/>
      </c>
      <c r="X10" s="345" t="str">
        <f>IF($P10="","",MCAin!$R26*$P10)</f>
        <v/>
      </c>
      <c r="Y10" s="345" t="str">
        <f>IF($Q10="","",MCAin!$R26*$Q10)</f>
        <v/>
      </c>
      <c r="Z10" s="345" t="str">
        <f>IF($R10="","",MCAin!$R26*$R10)</f>
        <v/>
      </c>
      <c r="AA10" s="347" t="str">
        <f>IF($S10="","",MCAin!$R26*$S10)</f>
        <v/>
      </c>
      <c r="AB10" s="463" t="str">
        <f>IF($N10="","",MCAin!$S26*$N10)</f>
        <v/>
      </c>
      <c r="AC10" s="345" t="str">
        <f>IF($O10="","",MCAin!$S26*$O10)</f>
        <v/>
      </c>
      <c r="AD10" s="345" t="str">
        <f>IF($P10="","",MCAin!$S26*$P10)</f>
        <v/>
      </c>
      <c r="AE10" s="345" t="str">
        <f>IF($Q10="","",MCAin!$R26*$Q10)</f>
        <v/>
      </c>
      <c r="AF10" s="345" t="str">
        <f>IF($R10="","",MCAin!$R26*$R10)</f>
        <v/>
      </c>
      <c r="AG10" s="347" t="str">
        <f>IF($S10="","",MCAin!$S26*$S10)</f>
        <v/>
      </c>
      <c r="AH10" s="463" t="str">
        <f>IF($N10="","",MCAin!$T26*$N10)</f>
        <v/>
      </c>
      <c r="AI10" s="345" t="str">
        <f>IF($O10="","",MCAin!$T26*$O10)</f>
        <v/>
      </c>
      <c r="AJ10" s="345" t="str">
        <f>IF($P10="","",MCAin!$T26*$P10)</f>
        <v/>
      </c>
      <c r="AK10" s="345" t="str">
        <f>IF($Q10="","",MCAin!$T26*$Q10)</f>
        <v/>
      </c>
      <c r="AL10" s="345" t="str">
        <f>IF($R10="","",MCAin!$R26*$R10)</f>
        <v/>
      </c>
      <c r="AM10" s="347" t="str">
        <f>IF($S10="","",MCAin!$S26*$S10)</f>
        <v/>
      </c>
      <c r="AN10" s="463" t="str">
        <f>IF($N10="","",MCAin!$U26*$N10)</f>
        <v/>
      </c>
      <c r="AO10" s="345" t="str">
        <f>IF($O10="","",MCAin!$U26*$O10)</f>
        <v/>
      </c>
      <c r="AP10" s="345" t="str">
        <f>IF($P10="","",MCAin!$U26*$P10)</f>
        <v/>
      </c>
      <c r="AQ10" s="345" t="str">
        <f>IF($Q10="","",MCAin!$U26*$Q10)</f>
        <v/>
      </c>
      <c r="AR10" s="345" t="str">
        <f>IF($R10="","",MCAin!$U26*$R10)</f>
        <v/>
      </c>
      <c r="AS10" s="347" t="str">
        <f>IF($S10="","",MCAin!$U26*$S10)</f>
        <v/>
      </c>
      <c r="AT10" s="463" t="str">
        <f>IF($N10="","",MCAin!$V26*$N10)</f>
        <v/>
      </c>
      <c r="AU10" s="345" t="str">
        <f>IF($O10="","",MCAin!$V26*$O10)</f>
        <v/>
      </c>
      <c r="AV10" s="345" t="str">
        <f>IF($P10="","",MCAin!$V26*$P10)</f>
        <v/>
      </c>
      <c r="AW10" s="345" t="str">
        <f>IF($Q10="","",MCAin!$V26*$Q10)</f>
        <v/>
      </c>
      <c r="AX10" s="345" t="str">
        <f>IF($R10="","",MCAin!$V26*$R10)</f>
        <v/>
      </c>
      <c r="AY10" s="347" t="str">
        <f>IF($S10="","",MCAin!$V26*$S10)</f>
        <v/>
      </c>
      <c r="AZ10" s="463" t="str">
        <f>IF($N10="","",MCAin!$W26*$N10)</f>
        <v/>
      </c>
      <c r="BA10" s="345" t="str">
        <f>IF($O10="","",MCAin!$W26*$O10)</f>
        <v/>
      </c>
      <c r="BB10" s="345" t="str">
        <f>IF($P10="","",MCAin!$W26*$P10)</f>
        <v/>
      </c>
      <c r="BC10" s="345" t="str">
        <f>IF($Q10="","",MCAin!$W26*$Q10)</f>
        <v/>
      </c>
      <c r="BD10" s="345" t="str">
        <f>IF($R10="","",MCAin!$W26*$R10)</f>
        <v/>
      </c>
      <c r="BE10" s="347" t="str">
        <f>IF($S10="","",MCAin!$W26*$S10)</f>
        <v/>
      </c>
      <c r="BF10" s="463" t="str">
        <f>IF($N10="","",MCAin!$X26*$N10)</f>
        <v/>
      </c>
      <c r="BG10" s="345" t="str">
        <f>IF($O10="","",MCAin!$X26*$O10)</f>
        <v/>
      </c>
      <c r="BH10" s="345" t="str">
        <f>IF($P10="","",MCAin!$X26*$P10)</f>
        <v/>
      </c>
      <c r="BI10" s="345" t="str">
        <f>IF($Q10="","",MCAin!$X26*$Q10)</f>
        <v/>
      </c>
      <c r="BJ10" s="345" t="str">
        <f>IF($R10="","",MCAin!$X26*$R10)</f>
        <v/>
      </c>
      <c r="BK10" s="347" t="str">
        <f>IF($S10="","",MCAin!$X26*$S10)</f>
        <v/>
      </c>
      <c r="BL10" s="463" t="str">
        <f>IF($N10="","",MCAin!$Y26*$N10)</f>
        <v/>
      </c>
      <c r="BM10" s="345" t="str">
        <f>IF($O10="","",MCAin!$Y26*$O10)</f>
        <v/>
      </c>
      <c r="BN10" s="345" t="str">
        <f>IF($P10="","",MCAin!$Y26*$P10)</f>
        <v/>
      </c>
      <c r="BO10" s="345" t="str">
        <f>IF($Q10="","",MCAin!$Y26*$Q10)</f>
        <v/>
      </c>
      <c r="BP10" s="345" t="str">
        <f>IF($R10="","",MCAin!$Y26*$R10)</f>
        <v/>
      </c>
      <c r="BQ10" s="347" t="str">
        <f>IF($S10="","",MCAin!$Y26*$S10)</f>
        <v/>
      </c>
      <c r="BR10" s="315"/>
      <c r="BS10" s="315"/>
      <c r="BT10" s="315"/>
      <c r="BU10" s="315"/>
      <c r="BV10" s="315"/>
      <c r="BW10" s="315"/>
      <c r="BX10" s="315"/>
      <c r="BY10" s="315"/>
      <c r="BZ10" s="315"/>
    </row>
    <row r="11" spans="1:78" ht="15" customHeight="1">
      <c r="A11" s="314"/>
      <c r="B11" s="110" t="str">
        <f>PTAout!D47</f>
        <v>Volume</v>
      </c>
      <c r="C11" s="316"/>
      <c r="D11" s="327" t="str">
        <f>PTAout!H47</f>
        <v/>
      </c>
      <c r="E11" s="327" t="str">
        <f>PTAout!L47</f>
        <v/>
      </c>
      <c r="F11" s="327" t="str">
        <f>PTAout!Q47</f>
        <v/>
      </c>
      <c r="G11" s="327" t="str">
        <f>PTAout!V47</f>
        <v/>
      </c>
      <c r="H11" s="327" t="str">
        <f>PTAout!AA47</f>
        <v/>
      </c>
      <c r="I11" s="317" t="str">
        <f>PTAout!AF47</f>
        <v/>
      </c>
      <c r="J11" s="484">
        <f>IF(MCAin!O27="","",MCAin!O27)</f>
        <v>0</v>
      </c>
      <c r="K11" s="484">
        <f>IF(MCAin!P27="","",MCAin!P27)</f>
        <v>6000</v>
      </c>
      <c r="L11" s="314"/>
      <c r="M11" s="534" t="str">
        <f>IF(AND(COUNTIF(D11:I11,"&gt;=0")=$D$1,J11&gt;=0,K11&gt;=0,MCAin!$Q27=""),1,"")</f>
        <v/>
      </c>
      <c r="N11" s="343" t="str">
        <f t="shared" si="1"/>
        <v/>
      </c>
      <c r="O11" s="343" t="str">
        <f t="shared" si="1"/>
        <v/>
      </c>
      <c r="P11" s="343" t="str">
        <f t="shared" si="1"/>
        <v/>
      </c>
      <c r="Q11" s="343" t="str">
        <f t="shared" si="1"/>
        <v/>
      </c>
      <c r="R11" s="343" t="str">
        <f t="shared" si="1"/>
        <v/>
      </c>
      <c r="S11" s="343" t="str">
        <f t="shared" si="1"/>
        <v/>
      </c>
      <c r="T11" s="343"/>
      <c r="U11" s="344"/>
      <c r="V11" s="463" t="str">
        <f>IF($N11="","",MCAin!$R27*$N11)</f>
        <v/>
      </c>
      <c r="W11" s="345" t="str">
        <f>IF($O11="","",MCAin!$R27*$O11)</f>
        <v/>
      </c>
      <c r="X11" s="345" t="str">
        <f>IF($P11="","",MCAin!$R27*$P11)</f>
        <v/>
      </c>
      <c r="Y11" s="345" t="str">
        <f>IF($Q11="","",MCAin!$R27*$Q11)</f>
        <v/>
      </c>
      <c r="Z11" s="345" t="str">
        <f>IF($R11="","",MCAin!$R27*$R11)</f>
        <v/>
      </c>
      <c r="AA11" s="347" t="str">
        <f>IF($S11="","",MCAin!$R27*$S11)</f>
        <v/>
      </c>
      <c r="AB11" s="463" t="str">
        <f>IF($N11="","",MCAin!$S27*$N11)</f>
        <v/>
      </c>
      <c r="AC11" s="345" t="str">
        <f>IF($O11="","",MCAin!$S27*$O11)</f>
        <v/>
      </c>
      <c r="AD11" s="345" t="str">
        <f>IF($P11="","",MCAin!$S27*$P11)</f>
        <v/>
      </c>
      <c r="AE11" s="345" t="str">
        <f>IF($Q11="","",MCAin!$R27*$Q11)</f>
        <v/>
      </c>
      <c r="AF11" s="345" t="str">
        <f>IF($R11="","",MCAin!$R27*$R11)</f>
        <v/>
      </c>
      <c r="AG11" s="347" t="str">
        <f>IF($S11="","",MCAin!$S27*$S11)</f>
        <v/>
      </c>
      <c r="AH11" s="463" t="str">
        <f>IF($N11="","",MCAin!$T27*$N11)</f>
        <v/>
      </c>
      <c r="AI11" s="345" t="str">
        <f>IF($O11="","",MCAin!$T27*$O11)</f>
        <v/>
      </c>
      <c r="AJ11" s="345" t="str">
        <f>IF($P11="","",MCAin!$T27*$P11)</f>
        <v/>
      </c>
      <c r="AK11" s="345" t="str">
        <f>IF($Q11="","",MCAin!$T27*$Q11)</f>
        <v/>
      </c>
      <c r="AL11" s="345" t="str">
        <f>IF($R11="","",MCAin!$R27*$R11)</f>
        <v/>
      </c>
      <c r="AM11" s="347" t="str">
        <f>IF($S11="","",MCAin!$S27*$S11)</f>
        <v/>
      </c>
      <c r="AN11" s="463" t="str">
        <f>IF($N11="","",MCAin!$U27*$N11)</f>
        <v/>
      </c>
      <c r="AO11" s="345" t="str">
        <f>IF($O11="","",MCAin!$U27*$O11)</f>
        <v/>
      </c>
      <c r="AP11" s="345" t="str">
        <f>IF($P11="","",MCAin!$U27*$P11)</f>
        <v/>
      </c>
      <c r="AQ11" s="345" t="str">
        <f>IF($Q11="","",MCAin!$U27*$Q11)</f>
        <v/>
      </c>
      <c r="AR11" s="345" t="str">
        <f>IF($R11="","",MCAin!$U27*$R11)</f>
        <v/>
      </c>
      <c r="AS11" s="347" t="str">
        <f>IF($S11="","",MCAin!$U27*$S11)</f>
        <v/>
      </c>
      <c r="AT11" s="463" t="str">
        <f>IF($N11="","",MCAin!$V27*$N11)</f>
        <v/>
      </c>
      <c r="AU11" s="345" t="str">
        <f>IF($O11="","",MCAin!$V27*$O11)</f>
        <v/>
      </c>
      <c r="AV11" s="345" t="str">
        <f>IF($P11="","",MCAin!$V27*$P11)</f>
        <v/>
      </c>
      <c r="AW11" s="345" t="str">
        <f>IF($Q11="","",MCAin!$V27*$Q11)</f>
        <v/>
      </c>
      <c r="AX11" s="345" t="str">
        <f>IF($R11="","",MCAin!$V27*$R11)</f>
        <v/>
      </c>
      <c r="AY11" s="347" t="str">
        <f>IF($S11="","",MCAin!$V27*$S11)</f>
        <v/>
      </c>
      <c r="AZ11" s="463" t="str">
        <f>IF($N11="","",MCAin!$W27*$N11)</f>
        <v/>
      </c>
      <c r="BA11" s="345" t="str">
        <f>IF($O11="","",MCAin!$W27*$O11)</f>
        <v/>
      </c>
      <c r="BB11" s="345" t="str">
        <f>IF($P11="","",MCAin!$W27*$P11)</f>
        <v/>
      </c>
      <c r="BC11" s="345" t="str">
        <f>IF($Q11="","",MCAin!$W27*$Q11)</f>
        <v/>
      </c>
      <c r="BD11" s="345" t="str">
        <f>IF($R11="","",MCAin!$W27*$R11)</f>
        <v/>
      </c>
      <c r="BE11" s="347" t="str">
        <f>IF($S11="","",MCAin!$W27*$S11)</f>
        <v/>
      </c>
      <c r="BF11" s="463" t="str">
        <f>IF($N11="","",MCAin!$X27*$N11)</f>
        <v/>
      </c>
      <c r="BG11" s="345" t="str">
        <f>IF($O11="","",MCAin!$X27*$O11)</f>
        <v/>
      </c>
      <c r="BH11" s="345" t="str">
        <f>IF($P11="","",MCAin!$X27*$P11)</f>
        <v/>
      </c>
      <c r="BI11" s="345" t="str">
        <f>IF($Q11="","",MCAin!$X27*$Q11)</f>
        <v/>
      </c>
      <c r="BJ11" s="345" t="str">
        <f>IF($R11="","",MCAin!$X27*$R11)</f>
        <v/>
      </c>
      <c r="BK11" s="347" t="str">
        <f>IF($S11="","",MCAin!$X27*$S11)</f>
        <v/>
      </c>
      <c r="BL11" s="463" t="str">
        <f>IF($N11="","",MCAin!$Y27*$N11)</f>
        <v/>
      </c>
      <c r="BM11" s="345" t="str">
        <f>IF($O11="","",MCAin!$Y27*$O11)</f>
        <v/>
      </c>
      <c r="BN11" s="345" t="str">
        <f>IF($P11="","",MCAin!$Y27*$P11)</f>
        <v/>
      </c>
      <c r="BO11" s="345" t="str">
        <f>IF($Q11="","",MCAin!$Y27*$Q11)</f>
        <v/>
      </c>
      <c r="BP11" s="345" t="str">
        <f>IF($R11="","",MCAin!$Y27*$R11)</f>
        <v/>
      </c>
      <c r="BQ11" s="347" t="str">
        <f>IF($S11="","",MCAin!$Y27*$S11)</f>
        <v/>
      </c>
      <c r="BR11" s="315"/>
      <c r="BS11" s="315"/>
      <c r="BT11" s="315"/>
      <c r="BU11" s="315"/>
      <c r="BV11" s="315"/>
      <c r="BW11" s="315"/>
      <c r="BX11" s="315"/>
      <c r="BY11" s="315"/>
      <c r="BZ11" s="315"/>
    </row>
    <row r="12" spans="1:78" ht="15" customHeight="1">
      <c r="A12" s="314"/>
      <c r="B12" s="110" t="str">
        <f>PTAout!D48</f>
        <v>Speed</v>
      </c>
      <c r="C12" s="316"/>
      <c r="D12" s="319" t="str">
        <f>PTAout!H48</f>
        <v/>
      </c>
      <c r="E12" s="319" t="str">
        <f>PTAout!L48</f>
        <v/>
      </c>
      <c r="F12" s="319" t="str">
        <f>PTAout!Q48</f>
        <v/>
      </c>
      <c r="G12" s="319" t="str">
        <f>PTAout!V48</f>
        <v/>
      </c>
      <c r="H12" s="319" t="str">
        <f>PTAout!AA48</f>
        <v/>
      </c>
      <c r="I12" s="319" t="str">
        <f>PTAout!AF48</f>
        <v/>
      </c>
      <c r="J12" s="484">
        <f>IF(MCAin!O28="","",MCAin!O28)</f>
        <v>1</v>
      </c>
      <c r="K12" s="484">
        <f>IF(MCAin!P28="","",MCAin!P28)</f>
        <v>60</v>
      </c>
      <c r="L12" s="314"/>
      <c r="M12" s="534" t="str">
        <f>IF(AND(COUNTIF(D12:I12,"&gt;=0")=$D$1,J12&gt;=0,K12&gt;=0,MCAin!$Q28=""),1,"")</f>
        <v/>
      </c>
      <c r="N12" s="343" t="str">
        <f t="shared" si="1"/>
        <v/>
      </c>
      <c r="O12" s="343" t="str">
        <f t="shared" si="1"/>
        <v/>
      </c>
      <c r="P12" s="343" t="str">
        <f t="shared" si="1"/>
        <v/>
      </c>
      <c r="Q12" s="343" t="str">
        <f t="shared" si="1"/>
        <v/>
      </c>
      <c r="R12" s="343" t="str">
        <f t="shared" si="1"/>
        <v/>
      </c>
      <c r="S12" s="343" t="str">
        <f t="shared" si="1"/>
        <v/>
      </c>
      <c r="T12" s="343"/>
      <c r="U12" s="344"/>
      <c r="V12" s="463" t="str">
        <f>IF($N12="","",MCAin!$R28*$N12)</f>
        <v/>
      </c>
      <c r="W12" s="345" t="str">
        <f>IF($O12="","",MCAin!$R28*$O12)</f>
        <v/>
      </c>
      <c r="X12" s="345" t="str">
        <f>IF($P12="","",MCAin!$R28*$P12)</f>
        <v/>
      </c>
      <c r="Y12" s="345" t="str">
        <f>IF($Q12="","",MCAin!$R28*$Q12)</f>
        <v/>
      </c>
      <c r="Z12" s="345" t="str">
        <f>IF($R12="","",MCAin!$R28*$R12)</f>
        <v/>
      </c>
      <c r="AA12" s="347" t="str">
        <f>IF($S12="","",MCAin!$R28*$S12)</f>
        <v/>
      </c>
      <c r="AB12" s="463" t="str">
        <f>IF($N12="","",MCAin!$S28*$N12)</f>
        <v/>
      </c>
      <c r="AC12" s="345" t="str">
        <f>IF($O12="","",MCAin!$S28*$O12)</f>
        <v/>
      </c>
      <c r="AD12" s="345" t="str">
        <f>IF($P12="","",MCAin!$S28*$P12)</f>
        <v/>
      </c>
      <c r="AE12" s="345" t="str">
        <f>IF($Q12="","",MCAin!$R28*$Q12)</f>
        <v/>
      </c>
      <c r="AF12" s="345" t="str">
        <f>IF($R12="","",MCAin!$R28*$R12)</f>
        <v/>
      </c>
      <c r="AG12" s="347" t="str">
        <f>IF($S12="","",MCAin!$S28*$S12)</f>
        <v/>
      </c>
      <c r="AH12" s="463" t="str">
        <f>IF($N12="","",MCAin!$T28*$N12)</f>
        <v/>
      </c>
      <c r="AI12" s="345" t="str">
        <f>IF($O12="","",MCAin!$T28*$O12)</f>
        <v/>
      </c>
      <c r="AJ12" s="345" t="str">
        <f>IF($P12="","",MCAin!$T28*$P12)</f>
        <v/>
      </c>
      <c r="AK12" s="345" t="str">
        <f>IF($Q12="","",MCAin!$T28*$Q12)</f>
        <v/>
      </c>
      <c r="AL12" s="345" t="str">
        <f>IF($R12="","",MCAin!$R28*$R12)</f>
        <v/>
      </c>
      <c r="AM12" s="347" t="str">
        <f>IF($S12="","",MCAin!$S28*$S12)</f>
        <v/>
      </c>
      <c r="AN12" s="463" t="str">
        <f>IF($N12="","",MCAin!$U28*$N12)</f>
        <v/>
      </c>
      <c r="AO12" s="345" t="str">
        <f>IF($O12="","",MCAin!$U28*$O12)</f>
        <v/>
      </c>
      <c r="AP12" s="345" t="str">
        <f>IF($P12="","",MCAin!$U28*$P12)</f>
        <v/>
      </c>
      <c r="AQ12" s="345" t="str">
        <f>IF($Q12="","",MCAin!$U28*$Q12)</f>
        <v/>
      </c>
      <c r="AR12" s="345" t="str">
        <f>IF($R12="","",MCAin!$U28*$R12)</f>
        <v/>
      </c>
      <c r="AS12" s="347" t="str">
        <f>IF($S12="","",MCAin!$U28*$S12)</f>
        <v/>
      </c>
      <c r="AT12" s="463" t="str">
        <f>IF($N12="","",MCAin!$V28*$N12)</f>
        <v/>
      </c>
      <c r="AU12" s="345" t="str">
        <f>IF($O12="","",MCAin!$V28*$O12)</f>
        <v/>
      </c>
      <c r="AV12" s="345" t="str">
        <f>IF($P12="","",MCAin!$V28*$P12)</f>
        <v/>
      </c>
      <c r="AW12" s="345" t="str">
        <f>IF($Q12="","",MCAin!$V28*$Q12)</f>
        <v/>
      </c>
      <c r="AX12" s="345" t="str">
        <f>IF($R12="","",MCAin!$V28*$R12)</f>
        <v/>
      </c>
      <c r="AY12" s="347" t="str">
        <f>IF($S12="","",MCAin!$V28*$S12)</f>
        <v/>
      </c>
      <c r="AZ12" s="463" t="str">
        <f>IF($N12="","",MCAin!$W28*$N12)</f>
        <v/>
      </c>
      <c r="BA12" s="345" t="str">
        <f>IF($O12="","",MCAin!$W28*$O12)</f>
        <v/>
      </c>
      <c r="BB12" s="345" t="str">
        <f>IF($P12="","",MCAin!$W28*$P12)</f>
        <v/>
      </c>
      <c r="BC12" s="345" t="str">
        <f>IF($Q12="","",MCAin!$W28*$Q12)</f>
        <v/>
      </c>
      <c r="BD12" s="345" t="str">
        <f>IF($R12="","",MCAin!$W28*$R12)</f>
        <v/>
      </c>
      <c r="BE12" s="347" t="str">
        <f>IF($S12="","",MCAin!$W28*$S12)</f>
        <v/>
      </c>
      <c r="BF12" s="463" t="str">
        <f>IF($N12="","",MCAin!$X28*$N12)</f>
        <v/>
      </c>
      <c r="BG12" s="345" t="str">
        <f>IF($O12="","",MCAin!$X28*$O12)</f>
        <v/>
      </c>
      <c r="BH12" s="345" t="str">
        <f>IF($P12="","",MCAin!$X28*$P12)</f>
        <v/>
      </c>
      <c r="BI12" s="345" t="str">
        <f>IF($Q12="","",MCAin!$X28*$Q12)</f>
        <v/>
      </c>
      <c r="BJ12" s="345" t="str">
        <f>IF($R12="","",MCAin!$X28*$R12)</f>
        <v/>
      </c>
      <c r="BK12" s="347" t="str">
        <f>IF($S12="","",MCAin!$X28*$S12)</f>
        <v/>
      </c>
      <c r="BL12" s="463" t="str">
        <f>IF($N12="","",MCAin!$Y28*$N12)</f>
        <v/>
      </c>
      <c r="BM12" s="345" t="str">
        <f>IF($O12="","",MCAin!$Y28*$O12)</f>
        <v/>
      </c>
      <c r="BN12" s="345" t="str">
        <f>IF($P12="","",MCAin!$Y28*$P12)</f>
        <v/>
      </c>
      <c r="BO12" s="345" t="str">
        <f>IF($Q12="","",MCAin!$Y28*$Q12)</f>
        <v/>
      </c>
      <c r="BP12" s="345" t="str">
        <f>IF($R12="","",MCAin!$Y28*$R12)</f>
        <v/>
      </c>
      <c r="BQ12" s="347" t="str">
        <f>IF($S12="","",MCAin!$Y28*$S12)</f>
        <v/>
      </c>
      <c r="BR12" s="315"/>
      <c r="BS12" s="315"/>
      <c r="BT12" s="315"/>
      <c r="BU12" s="315"/>
      <c r="BV12" s="315"/>
      <c r="BW12" s="315"/>
      <c r="BX12" s="315"/>
      <c r="BY12" s="315"/>
      <c r="BZ12" s="315"/>
    </row>
    <row r="13" spans="1:78" ht="15" customHeight="1">
      <c r="A13" s="314"/>
      <c r="B13" s="110" t="s">
        <v>296</v>
      </c>
      <c r="C13" s="316"/>
      <c r="D13" s="319"/>
      <c r="E13" s="319"/>
      <c r="F13" s="319"/>
      <c r="G13" s="319"/>
      <c r="H13" s="319"/>
      <c r="I13" s="319"/>
      <c r="J13" s="484">
        <f>IF(MCAin!O29="","",MCAin!O29)</f>
        <v>40</v>
      </c>
      <c r="K13" s="484">
        <f>IF(MCAin!P29="","",MCAin!P29)</f>
        <v>1</v>
      </c>
      <c r="L13" s="314"/>
      <c r="M13" s="534" t="str">
        <f>IF(AND(COUNTIF(D13:I13,"&gt;=0")=$D$1,J13&gt;=0,K13&gt;=0,MCAin!$Q29=""),1,"")</f>
        <v/>
      </c>
      <c r="N13" s="343" t="str">
        <f t="shared" si="1"/>
        <v/>
      </c>
      <c r="O13" s="343" t="str">
        <f t="shared" si="1"/>
        <v/>
      </c>
      <c r="P13" s="343" t="str">
        <f t="shared" si="1"/>
        <v/>
      </c>
      <c r="Q13" s="343" t="str">
        <f t="shared" si="1"/>
        <v/>
      </c>
      <c r="R13" s="343" t="str">
        <f t="shared" si="1"/>
        <v/>
      </c>
      <c r="S13" s="343" t="str">
        <f t="shared" si="1"/>
        <v/>
      </c>
      <c r="T13" s="343"/>
      <c r="U13" s="344"/>
      <c r="V13" s="463" t="str">
        <f>IF($N13="","",MCAin!$R29*$N13)</f>
        <v/>
      </c>
      <c r="W13" s="345" t="str">
        <f>IF($O13="","",MCAin!$R29*$O13)</f>
        <v/>
      </c>
      <c r="X13" s="345" t="str">
        <f>IF($P13="","",MCAin!$R29*$P13)</f>
        <v/>
      </c>
      <c r="Y13" s="345" t="str">
        <f>IF($Q13="","",MCAin!$R29*$Q13)</f>
        <v/>
      </c>
      <c r="Z13" s="345" t="str">
        <f>IF($R13="","",MCAin!$R29*$R13)</f>
        <v/>
      </c>
      <c r="AA13" s="347" t="str">
        <f>IF($S13="","",MCAin!$R29*$S13)</f>
        <v/>
      </c>
      <c r="AB13" s="463" t="str">
        <f>IF($N13="","",MCAin!$S29*$N13)</f>
        <v/>
      </c>
      <c r="AC13" s="345" t="str">
        <f>IF($O13="","",MCAin!$S29*$O13)</f>
        <v/>
      </c>
      <c r="AD13" s="345" t="str">
        <f>IF($P13="","",MCAin!$S29*$P13)</f>
        <v/>
      </c>
      <c r="AE13" s="345" t="str">
        <f>IF($Q13="","",MCAin!$R29*$Q13)</f>
        <v/>
      </c>
      <c r="AF13" s="345" t="str">
        <f>IF($R13="","",MCAin!$R29*$R13)</f>
        <v/>
      </c>
      <c r="AG13" s="347" t="str">
        <f>IF($S13="","",MCAin!$S29*$S13)</f>
        <v/>
      </c>
      <c r="AH13" s="463" t="str">
        <f>IF($N13="","",MCAin!$T29*$N13)</f>
        <v/>
      </c>
      <c r="AI13" s="345" t="str">
        <f>IF($O13="","",MCAin!$T29*$O13)</f>
        <v/>
      </c>
      <c r="AJ13" s="345" t="str">
        <f>IF($P13="","",MCAin!$T29*$P13)</f>
        <v/>
      </c>
      <c r="AK13" s="345" t="str">
        <f>IF($Q13="","",MCAin!$T29*$Q13)</f>
        <v/>
      </c>
      <c r="AL13" s="345" t="str">
        <f>IF($R13="","",MCAin!$R29*$R13)</f>
        <v/>
      </c>
      <c r="AM13" s="347" t="str">
        <f>IF($S13="","",MCAin!$S29*$S13)</f>
        <v/>
      </c>
      <c r="AN13" s="463" t="str">
        <f>IF($N13="","",MCAin!$U29*$N13)</f>
        <v/>
      </c>
      <c r="AO13" s="345" t="str">
        <f>IF($O13="","",MCAin!$U29*$O13)</f>
        <v/>
      </c>
      <c r="AP13" s="345" t="str">
        <f>IF($P13="","",MCAin!$U29*$P13)</f>
        <v/>
      </c>
      <c r="AQ13" s="345" t="str">
        <f>IF($Q13="","",MCAin!$U29*$Q13)</f>
        <v/>
      </c>
      <c r="AR13" s="345" t="str">
        <f>IF($R13="","",MCAin!$U29*$R13)</f>
        <v/>
      </c>
      <c r="AS13" s="347" t="str">
        <f>IF($S13="","",MCAin!$U29*$S13)</f>
        <v/>
      </c>
      <c r="AT13" s="463" t="str">
        <f>IF($N13="","",MCAin!$V29*$N13)</f>
        <v/>
      </c>
      <c r="AU13" s="345" t="str">
        <f>IF($O13="","",MCAin!$V29*$O13)</f>
        <v/>
      </c>
      <c r="AV13" s="345" t="str">
        <f>IF($P13="","",MCAin!$V29*$P13)</f>
        <v/>
      </c>
      <c r="AW13" s="345" t="str">
        <f>IF($Q13="","",MCAin!$V29*$Q13)</f>
        <v/>
      </c>
      <c r="AX13" s="345" t="str">
        <f>IF($R13="","",MCAin!$V29*$R13)</f>
        <v/>
      </c>
      <c r="AY13" s="347" t="str">
        <f>IF($S13="","",MCAin!$V29*$S13)</f>
        <v/>
      </c>
      <c r="AZ13" s="463" t="str">
        <f>IF($N13="","",MCAin!$W29*$N13)</f>
        <v/>
      </c>
      <c r="BA13" s="345" t="str">
        <f>IF($O13="","",MCAin!$W29*$O13)</f>
        <v/>
      </c>
      <c r="BB13" s="345" t="str">
        <f>IF($P13="","",MCAin!$W29*$P13)</f>
        <v/>
      </c>
      <c r="BC13" s="345" t="str">
        <f>IF($Q13="","",MCAin!$W29*$Q13)</f>
        <v/>
      </c>
      <c r="BD13" s="345" t="str">
        <f>IF($R13="","",MCAin!$W29*$R13)</f>
        <v/>
      </c>
      <c r="BE13" s="347" t="str">
        <f>IF($S13="","",MCAin!$W29*$S13)</f>
        <v/>
      </c>
      <c r="BF13" s="463" t="str">
        <f>IF($N13="","",MCAin!$X29*$N13)</f>
        <v/>
      </c>
      <c r="BG13" s="345" t="str">
        <f>IF($O13="","",MCAin!$X29*$O13)</f>
        <v/>
      </c>
      <c r="BH13" s="345" t="str">
        <f>IF($P13="","",MCAin!$X29*$P13)</f>
        <v/>
      </c>
      <c r="BI13" s="345" t="str">
        <f>IF($Q13="","",MCAin!$X29*$Q13)</f>
        <v/>
      </c>
      <c r="BJ13" s="345" t="str">
        <f>IF($R13="","",MCAin!$X29*$R13)</f>
        <v/>
      </c>
      <c r="BK13" s="347" t="str">
        <f>IF($S13="","",MCAin!$X29*$S13)</f>
        <v/>
      </c>
      <c r="BL13" s="463" t="str">
        <f>IF($N13="","",MCAin!$Y29*$N13)</f>
        <v/>
      </c>
      <c r="BM13" s="345" t="str">
        <f>IF($O13="","",MCAin!$Y29*$O13)</f>
        <v/>
      </c>
      <c r="BN13" s="345" t="str">
        <f>IF($P13="","",MCAin!$Y29*$P13)</f>
        <v/>
      </c>
      <c r="BO13" s="345" t="str">
        <f>IF($Q13="","",MCAin!$Y29*$Q13)</f>
        <v/>
      </c>
      <c r="BP13" s="345" t="str">
        <f>IF($R13="","",MCAin!$Y29*$R13)</f>
        <v/>
      </c>
      <c r="BQ13" s="347" t="str">
        <f>IF($S13="","",MCAin!$Y29*$S13)</f>
        <v/>
      </c>
      <c r="BR13" s="315"/>
      <c r="BS13" s="315"/>
      <c r="BT13" s="315"/>
      <c r="BU13" s="315"/>
      <c r="BV13" s="315"/>
      <c r="BW13" s="315"/>
      <c r="BX13" s="315"/>
      <c r="BY13" s="315"/>
      <c r="BZ13" s="315"/>
    </row>
    <row r="14" spans="1:78" ht="15" customHeight="1">
      <c r="A14" s="314"/>
      <c r="B14" s="110" t="str">
        <f>PTAout!D50</f>
        <v>Delays</v>
      </c>
      <c r="C14" s="316"/>
      <c r="D14" s="319" t="str">
        <f>PTAout!H50</f>
        <v/>
      </c>
      <c r="E14" s="319" t="str">
        <f>PTAout!L50</f>
        <v/>
      </c>
      <c r="F14" s="319" t="str">
        <f>PTAout!Q50</f>
        <v/>
      </c>
      <c r="G14" s="319" t="str">
        <f>PTAout!V50</f>
        <v/>
      </c>
      <c r="H14" s="319" t="str">
        <f>PTAout!AA50</f>
        <v/>
      </c>
      <c r="I14" s="319" t="str">
        <f>PTAout!AF50</f>
        <v/>
      </c>
      <c r="J14" s="484">
        <f>IF(MCAin!O30="","",MCAin!O30)</f>
        <v>2</v>
      </c>
      <c r="K14" s="484">
        <f>IF(MCAin!P30="","",MCAin!P30)</f>
        <v>1</v>
      </c>
      <c r="L14" s="314"/>
      <c r="M14" s="534" t="str">
        <f>IF(AND(COUNTIF(D14:I14,"&gt;=0")=$D$1,J14&gt;=0,K14&gt;=0,MCAin!$Q30=""),1,"")</f>
        <v/>
      </c>
      <c r="N14" s="343" t="str">
        <f t="shared" si="1"/>
        <v/>
      </c>
      <c r="O14" s="343" t="str">
        <f t="shared" si="1"/>
        <v/>
      </c>
      <c r="P14" s="343" t="str">
        <f t="shared" si="1"/>
        <v/>
      </c>
      <c r="Q14" s="343" t="str">
        <f t="shared" si="1"/>
        <v/>
      </c>
      <c r="R14" s="343" t="str">
        <f t="shared" si="1"/>
        <v/>
      </c>
      <c r="S14" s="343" t="str">
        <f t="shared" si="1"/>
        <v/>
      </c>
      <c r="T14" s="343"/>
      <c r="U14" s="344"/>
      <c r="V14" s="463" t="str">
        <f>IF($N14="","",MCAin!$R30*$N14)</f>
        <v/>
      </c>
      <c r="W14" s="345" t="str">
        <f>IF($O14="","",MCAin!$R30*$O14)</f>
        <v/>
      </c>
      <c r="X14" s="345" t="str">
        <f>IF($P14="","",MCAin!$R30*$P14)</f>
        <v/>
      </c>
      <c r="Y14" s="345" t="str">
        <f>IF($Q14="","",MCAin!$R30*$Q14)</f>
        <v/>
      </c>
      <c r="Z14" s="345" t="str">
        <f>IF($R14="","",MCAin!$R30*$R14)</f>
        <v/>
      </c>
      <c r="AA14" s="347" t="str">
        <f>IF($S14="","",MCAin!$R30*$S14)</f>
        <v/>
      </c>
      <c r="AB14" s="463" t="str">
        <f>IF($N14="","",MCAin!$S30*$N14)</f>
        <v/>
      </c>
      <c r="AC14" s="345" t="str">
        <f>IF($O14="","",MCAin!$S30*$O14)</f>
        <v/>
      </c>
      <c r="AD14" s="345" t="str">
        <f>IF($P14="","",MCAin!$S30*$P14)</f>
        <v/>
      </c>
      <c r="AE14" s="345" t="str">
        <f>IF($Q14="","",MCAin!$R30*$Q14)</f>
        <v/>
      </c>
      <c r="AF14" s="345" t="str">
        <f>IF($R14="","",MCAin!$R30*$R14)</f>
        <v/>
      </c>
      <c r="AG14" s="347" t="str">
        <f>IF($S14="","",MCAin!$S30*$S14)</f>
        <v/>
      </c>
      <c r="AH14" s="463" t="str">
        <f>IF($N14="","",MCAin!$T30*$N14)</f>
        <v/>
      </c>
      <c r="AI14" s="345" t="str">
        <f>IF($O14="","",MCAin!$T30*$O14)</f>
        <v/>
      </c>
      <c r="AJ14" s="345" t="str">
        <f>IF($P14="","",MCAin!$T30*$P14)</f>
        <v/>
      </c>
      <c r="AK14" s="345" t="str">
        <f>IF($Q14="","",MCAin!$T30*$Q14)</f>
        <v/>
      </c>
      <c r="AL14" s="345" t="str">
        <f>IF($R14="","",MCAin!$R30*$R14)</f>
        <v/>
      </c>
      <c r="AM14" s="347" t="str">
        <f>IF($S14="","",MCAin!$S30*$S14)</f>
        <v/>
      </c>
      <c r="AN14" s="463" t="str">
        <f>IF($N14="","",MCAin!$U30*$N14)</f>
        <v/>
      </c>
      <c r="AO14" s="345" t="str">
        <f>IF($O14="","",MCAin!$U30*$O14)</f>
        <v/>
      </c>
      <c r="AP14" s="345" t="str">
        <f>IF($P14="","",MCAin!$U30*$P14)</f>
        <v/>
      </c>
      <c r="AQ14" s="345" t="str">
        <f>IF($Q14="","",MCAin!$U30*$Q14)</f>
        <v/>
      </c>
      <c r="AR14" s="345" t="str">
        <f>IF($R14="","",MCAin!$U30*$R14)</f>
        <v/>
      </c>
      <c r="AS14" s="347" t="str">
        <f>IF($S14="","",MCAin!$U30*$S14)</f>
        <v/>
      </c>
      <c r="AT14" s="463" t="str">
        <f>IF($N14="","",MCAin!$V30*$N14)</f>
        <v/>
      </c>
      <c r="AU14" s="345" t="str">
        <f>IF($O14="","",MCAin!$V30*$O14)</f>
        <v/>
      </c>
      <c r="AV14" s="345" t="str">
        <f>IF($P14="","",MCAin!$V30*$P14)</f>
        <v/>
      </c>
      <c r="AW14" s="345" t="str">
        <f>IF($Q14="","",MCAin!$V30*$Q14)</f>
        <v/>
      </c>
      <c r="AX14" s="345" t="str">
        <f>IF($R14="","",MCAin!$V30*$R14)</f>
        <v/>
      </c>
      <c r="AY14" s="347" t="str">
        <f>IF($S14="","",MCAin!$V30*$S14)</f>
        <v/>
      </c>
      <c r="AZ14" s="463" t="str">
        <f>IF($N14="","",MCAin!$W30*$N14)</f>
        <v/>
      </c>
      <c r="BA14" s="345" t="str">
        <f>IF($O14="","",MCAin!$W30*$O14)</f>
        <v/>
      </c>
      <c r="BB14" s="345" t="str">
        <f>IF($P14="","",MCAin!$W30*$P14)</f>
        <v/>
      </c>
      <c r="BC14" s="345" t="str">
        <f>IF($Q14="","",MCAin!$W30*$Q14)</f>
        <v/>
      </c>
      <c r="BD14" s="345" t="str">
        <f>IF($R14="","",MCAin!$W30*$R14)</f>
        <v/>
      </c>
      <c r="BE14" s="347" t="str">
        <f>IF($S14="","",MCAin!$W30*$S14)</f>
        <v/>
      </c>
      <c r="BF14" s="463" t="str">
        <f>IF($N14="","",MCAin!$X30*$N14)</f>
        <v/>
      </c>
      <c r="BG14" s="345" t="str">
        <f>IF($O14="","",MCAin!$X30*$O14)</f>
        <v/>
      </c>
      <c r="BH14" s="345" t="str">
        <f>IF($P14="","",MCAin!$X30*$P14)</f>
        <v/>
      </c>
      <c r="BI14" s="345" t="str">
        <f>IF($Q14="","",MCAin!$X30*$Q14)</f>
        <v/>
      </c>
      <c r="BJ14" s="345" t="str">
        <f>IF($R14="","",MCAin!$X30*$R14)</f>
        <v/>
      </c>
      <c r="BK14" s="347" t="str">
        <f>IF($S14="","",MCAin!$X30*$S14)</f>
        <v/>
      </c>
      <c r="BL14" s="463" t="str">
        <f>IF($N14="","",MCAin!$Y30*$N14)</f>
        <v/>
      </c>
      <c r="BM14" s="345" t="str">
        <f>IF($O14="","",MCAin!$Y30*$O14)</f>
        <v/>
      </c>
      <c r="BN14" s="345" t="str">
        <f>IF($P14="","",MCAin!$Y30*$P14)</f>
        <v/>
      </c>
      <c r="BO14" s="345" t="str">
        <f>IF($Q14="","",MCAin!$Y30*$Q14)</f>
        <v/>
      </c>
      <c r="BP14" s="345" t="str">
        <f>IF($R14="","",MCAin!$Y30*$R14)</f>
        <v/>
      </c>
      <c r="BQ14" s="347" t="str">
        <f>IF($S14="","",MCAin!$Y30*$S14)</f>
        <v/>
      </c>
      <c r="BR14" s="315"/>
      <c r="BS14" s="315"/>
      <c r="BT14" s="315"/>
      <c r="BU14" s="315"/>
      <c r="BV14" s="315"/>
      <c r="BW14" s="315"/>
      <c r="BX14" s="315"/>
      <c r="BY14" s="315"/>
      <c r="BZ14" s="315"/>
    </row>
    <row r="15" spans="1:78" ht="15" customHeight="1">
      <c r="A15" s="314"/>
      <c r="B15" s="110" t="str">
        <f>PTAout!D51</f>
        <v>Reliability</v>
      </c>
      <c r="C15" s="316"/>
      <c r="D15" s="319" t="str">
        <f>PTAout!H51</f>
        <v/>
      </c>
      <c r="E15" s="319" t="str">
        <f>PTAout!L51</f>
        <v/>
      </c>
      <c r="F15" s="319" t="str">
        <f>PTAout!Q51</f>
        <v/>
      </c>
      <c r="G15" s="319" t="str">
        <f>PTAout!V51</f>
        <v/>
      </c>
      <c r="H15" s="319" t="str">
        <f>PTAout!AA51</f>
        <v/>
      </c>
      <c r="I15" s="319" t="str">
        <f>PTAout!AF51</f>
        <v/>
      </c>
      <c r="J15" s="484" t="str">
        <f>IF(MCAin!O31="","",MCAin!O31)</f>
        <v/>
      </c>
      <c r="K15" s="484" t="str">
        <f>IF(MCAin!P31="","",MCAin!P31)</f>
        <v/>
      </c>
      <c r="L15" s="314"/>
      <c r="M15" s="534" t="str">
        <f>IF(AND(COUNTIF(D15:I15,"&gt;=0")=$D$1,J15&gt;=0,K15&gt;=0,MCAin!$Q31=""),1,"")</f>
        <v/>
      </c>
      <c r="N15" s="343" t="str">
        <f t="shared" si="1"/>
        <v/>
      </c>
      <c r="O15" s="343" t="str">
        <f t="shared" si="1"/>
        <v/>
      </c>
      <c r="P15" s="343" t="str">
        <f t="shared" si="1"/>
        <v/>
      </c>
      <c r="Q15" s="343" t="str">
        <f t="shared" si="1"/>
        <v/>
      </c>
      <c r="R15" s="343" t="str">
        <f t="shared" si="1"/>
        <v/>
      </c>
      <c r="S15" s="343" t="str">
        <f t="shared" si="1"/>
        <v/>
      </c>
      <c r="T15" s="343"/>
      <c r="U15" s="344"/>
      <c r="V15" s="463" t="str">
        <f>IF($N15="","",MCAin!$R31*$N15)</f>
        <v/>
      </c>
      <c r="W15" s="345" t="str">
        <f>IF($O15="","",MCAin!$R31*$O15)</f>
        <v/>
      </c>
      <c r="X15" s="345" t="str">
        <f>IF($P15="","",MCAin!$R31*$P15)</f>
        <v/>
      </c>
      <c r="Y15" s="345" t="str">
        <f>IF($Q15="","",MCAin!$R31*$Q15)</f>
        <v/>
      </c>
      <c r="Z15" s="345" t="str">
        <f>IF($R15="","",MCAin!$R31*$R15)</f>
        <v/>
      </c>
      <c r="AA15" s="347" t="str">
        <f>IF($S15="","",MCAin!$R31*$S15)</f>
        <v/>
      </c>
      <c r="AB15" s="463" t="str">
        <f>IF($N15="","",MCAin!$S31*$N15)</f>
        <v/>
      </c>
      <c r="AC15" s="345" t="str">
        <f>IF($O15="","",MCAin!$S31*$O15)</f>
        <v/>
      </c>
      <c r="AD15" s="345" t="str">
        <f>IF($P15="","",MCAin!$S31*$P15)</f>
        <v/>
      </c>
      <c r="AE15" s="345" t="str">
        <f>IF($Q15="","",MCAin!$R31*$Q15)</f>
        <v/>
      </c>
      <c r="AF15" s="345" t="str">
        <f>IF($R15="","",MCAin!$R31*$R15)</f>
        <v/>
      </c>
      <c r="AG15" s="347" t="str">
        <f>IF($S15="","",MCAin!$S31*$S15)</f>
        <v/>
      </c>
      <c r="AH15" s="463" t="str">
        <f>IF($N15="","",MCAin!$T31*$N15)</f>
        <v/>
      </c>
      <c r="AI15" s="345" t="str">
        <f>IF($O15="","",MCAin!$T31*$O15)</f>
        <v/>
      </c>
      <c r="AJ15" s="345" t="str">
        <f>IF($P15="","",MCAin!$T31*$P15)</f>
        <v/>
      </c>
      <c r="AK15" s="345" t="str">
        <f>IF($Q15="","",MCAin!$T31*$Q15)</f>
        <v/>
      </c>
      <c r="AL15" s="345" t="str">
        <f>IF($R15="","",MCAin!$R31*$R15)</f>
        <v/>
      </c>
      <c r="AM15" s="347" t="str">
        <f>IF($S15="","",MCAin!$S31*$S15)</f>
        <v/>
      </c>
      <c r="AN15" s="463" t="str">
        <f>IF($N15="","",MCAin!$U31*$N15)</f>
        <v/>
      </c>
      <c r="AO15" s="345" t="str">
        <f>IF($O15="","",MCAin!$U31*$O15)</f>
        <v/>
      </c>
      <c r="AP15" s="345" t="str">
        <f>IF($P15="","",MCAin!$U31*$P15)</f>
        <v/>
      </c>
      <c r="AQ15" s="345" t="str">
        <f>IF($Q15="","",MCAin!$U31*$Q15)</f>
        <v/>
      </c>
      <c r="AR15" s="345" t="str">
        <f>IF($R15="","",MCAin!$U31*$R15)</f>
        <v/>
      </c>
      <c r="AS15" s="347" t="str">
        <f>IF($S15="","",MCAin!$U31*$S15)</f>
        <v/>
      </c>
      <c r="AT15" s="463" t="str">
        <f>IF($N15="","",MCAin!$V31*$N15)</f>
        <v/>
      </c>
      <c r="AU15" s="345" t="str">
        <f>IF($O15="","",MCAin!$V31*$O15)</f>
        <v/>
      </c>
      <c r="AV15" s="345" t="str">
        <f>IF($P15="","",MCAin!$V31*$P15)</f>
        <v/>
      </c>
      <c r="AW15" s="345" t="str">
        <f>IF($Q15="","",MCAin!$V31*$Q15)</f>
        <v/>
      </c>
      <c r="AX15" s="345" t="str">
        <f>IF($R15="","",MCAin!$V31*$R15)</f>
        <v/>
      </c>
      <c r="AY15" s="347" t="str">
        <f>IF($S15="","",MCAin!$V31*$S15)</f>
        <v/>
      </c>
      <c r="AZ15" s="463" t="str">
        <f>IF($N15="","",MCAin!$W31*$N15)</f>
        <v/>
      </c>
      <c r="BA15" s="345" t="str">
        <f>IF($O15="","",MCAin!$W31*$O15)</f>
        <v/>
      </c>
      <c r="BB15" s="345" t="str">
        <f>IF($P15="","",MCAin!$W31*$P15)</f>
        <v/>
      </c>
      <c r="BC15" s="345" t="str">
        <f>IF($Q15="","",MCAin!$W31*$Q15)</f>
        <v/>
      </c>
      <c r="BD15" s="345" t="str">
        <f>IF($R15="","",MCAin!$W31*$R15)</f>
        <v/>
      </c>
      <c r="BE15" s="347" t="str">
        <f>IF($S15="","",MCAin!$W31*$S15)</f>
        <v/>
      </c>
      <c r="BF15" s="463" t="str">
        <f>IF($N15="","",MCAin!$X31*$N15)</f>
        <v/>
      </c>
      <c r="BG15" s="345" t="str">
        <f>IF($O15="","",MCAin!$X31*$O15)</f>
        <v/>
      </c>
      <c r="BH15" s="345" t="str">
        <f>IF($P15="","",MCAin!$X31*$P15)</f>
        <v/>
      </c>
      <c r="BI15" s="345" t="str">
        <f>IF($Q15="","",MCAin!$X31*$Q15)</f>
        <v/>
      </c>
      <c r="BJ15" s="345" t="str">
        <f>IF($R15="","",MCAin!$X31*$R15)</f>
        <v/>
      </c>
      <c r="BK15" s="347" t="str">
        <f>IF($S15="","",MCAin!$X31*$S15)</f>
        <v/>
      </c>
      <c r="BL15" s="463" t="str">
        <f>IF($N15="","",MCAin!$Y31*$N15)</f>
        <v/>
      </c>
      <c r="BM15" s="345" t="str">
        <f>IF($O15="","",MCAin!$Y31*$O15)</f>
        <v/>
      </c>
      <c r="BN15" s="345" t="str">
        <f>IF($P15="","",MCAin!$Y31*$P15)</f>
        <v/>
      </c>
      <c r="BO15" s="345" t="str">
        <f>IF($Q15="","",MCAin!$Y31*$Q15)</f>
        <v/>
      </c>
      <c r="BP15" s="345" t="str">
        <f>IF($R15="","",MCAin!$Y31*$R15)</f>
        <v/>
      </c>
      <c r="BQ15" s="347" t="str">
        <f>IF($S15="","",MCAin!$Y31*$S15)</f>
        <v/>
      </c>
      <c r="BR15" s="315"/>
      <c r="BS15" s="315"/>
      <c r="BT15" s="315"/>
      <c r="BU15" s="315"/>
      <c r="BV15" s="315"/>
      <c r="BW15" s="315"/>
      <c r="BX15" s="315"/>
      <c r="BY15" s="315"/>
      <c r="BZ15" s="315"/>
    </row>
    <row r="16" spans="1:78" ht="15" customHeight="1">
      <c r="A16" s="320"/>
      <c r="B16" s="118" t="str">
        <f>PTAout!D52</f>
        <v>Trip quality</v>
      </c>
      <c r="C16" s="321"/>
      <c r="D16" s="322" t="str">
        <f>PTAout!H52</f>
        <v/>
      </c>
      <c r="E16" s="322" t="str">
        <f>PTAout!L52</f>
        <v/>
      </c>
      <c r="F16" s="322" t="str">
        <f>PTAout!Q52</f>
        <v/>
      </c>
      <c r="G16" s="322" t="str">
        <f>PTAout!V52</f>
        <v/>
      </c>
      <c r="H16" s="322" t="str">
        <f>PTAout!AA52</f>
        <v/>
      </c>
      <c r="I16" s="322" t="str">
        <f>PTAout!AF52</f>
        <v/>
      </c>
      <c r="J16" s="489">
        <f>IF(MCAin!O32="","",MCAin!O32)</f>
        <v>1</v>
      </c>
      <c r="K16" s="489">
        <f>IF(MCAin!P32="","",MCAin!P32)</f>
        <v>0</v>
      </c>
      <c r="L16" s="314"/>
      <c r="M16" s="534" t="str">
        <f>IF(AND(COUNTIF(D16:I16,"&gt;=0")=$D$1,J16&gt;=0,K16&gt;=0,MCAin!$Q32=""),1,"")</f>
        <v/>
      </c>
      <c r="N16" s="492" t="str">
        <f t="shared" si="1"/>
        <v/>
      </c>
      <c r="O16" s="492" t="str">
        <f t="shared" si="1"/>
        <v/>
      </c>
      <c r="P16" s="492" t="str">
        <f t="shared" si="1"/>
        <v/>
      </c>
      <c r="Q16" s="492" t="str">
        <f t="shared" si="1"/>
        <v/>
      </c>
      <c r="R16" s="492" t="str">
        <f t="shared" si="1"/>
        <v/>
      </c>
      <c r="S16" s="492" t="str">
        <f t="shared" si="1"/>
        <v/>
      </c>
      <c r="T16" s="343"/>
      <c r="U16" s="344"/>
      <c r="V16" s="495" t="str">
        <f>IF($N16="","",MCAin!$R32*$N16)</f>
        <v/>
      </c>
      <c r="W16" s="496" t="str">
        <f>IF($O16="","",MCAin!$R32*$O16)</f>
        <v/>
      </c>
      <c r="X16" s="496" t="str">
        <f>IF($P16="","",MCAin!$R32*$P16)</f>
        <v/>
      </c>
      <c r="Y16" s="496" t="str">
        <f>IF($Q16="","",MCAin!$R32*$Q16)</f>
        <v/>
      </c>
      <c r="Z16" s="496" t="str">
        <f>IF($R16="","",MCAin!$R32*$R16)</f>
        <v/>
      </c>
      <c r="AA16" s="497" t="str">
        <f>IF($S16="","",MCAin!$R32*$S16)</f>
        <v/>
      </c>
      <c r="AB16" s="495" t="str">
        <f>IF($N16="","",MCAin!$S32*$N16)</f>
        <v/>
      </c>
      <c r="AC16" s="496" t="str">
        <f>IF($O16="","",MCAin!$S32*$O16)</f>
        <v/>
      </c>
      <c r="AD16" s="496" t="str">
        <f>IF($P16="","",MCAin!$S32*$P16)</f>
        <v/>
      </c>
      <c r="AE16" s="496" t="str">
        <f>IF($Q16="","",MCAin!$R32*$Q16)</f>
        <v/>
      </c>
      <c r="AF16" s="496" t="str">
        <f>IF($R16="","",MCAin!$R32*$R16)</f>
        <v/>
      </c>
      <c r="AG16" s="497" t="str">
        <f>IF($S16="","",MCAin!$S32*$S16)</f>
        <v/>
      </c>
      <c r="AH16" s="495" t="str">
        <f>IF($N16="","",MCAin!$T32*$N16)</f>
        <v/>
      </c>
      <c r="AI16" s="496" t="str">
        <f>IF($O16="","",MCAin!$T32*$O16)</f>
        <v/>
      </c>
      <c r="AJ16" s="496" t="str">
        <f>IF($P16="","",MCAin!$T32*$P16)</f>
        <v/>
      </c>
      <c r="AK16" s="496" t="str">
        <f>IF($Q16="","",MCAin!$T32*$Q16)</f>
        <v/>
      </c>
      <c r="AL16" s="496" t="str">
        <f>IF($R16="","",MCAin!$R32*$R16)</f>
        <v/>
      </c>
      <c r="AM16" s="497" t="str">
        <f>IF($S16="","",MCAin!$S32*$S16)</f>
        <v/>
      </c>
      <c r="AN16" s="495" t="str">
        <f>IF($N16="","",MCAin!$U32*$N16)</f>
        <v/>
      </c>
      <c r="AO16" s="496" t="str">
        <f>IF($O16="","",MCAin!$U32*$O16)</f>
        <v/>
      </c>
      <c r="AP16" s="496" t="str">
        <f>IF($P16="","",MCAin!$U32*$P16)</f>
        <v/>
      </c>
      <c r="AQ16" s="496" t="str">
        <f>IF($Q16="","",MCAin!$U32*$Q16)</f>
        <v/>
      </c>
      <c r="AR16" s="496" t="str">
        <f>IF($R16="","",MCAin!$U32*$R16)</f>
        <v/>
      </c>
      <c r="AS16" s="497" t="str">
        <f>IF($S16="","",MCAin!$U32*$S16)</f>
        <v/>
      </c>
      <c r="AT16" s="495" t="str">
        <f>IF($N16="","",MCAin!$V32*$N16)</f>
        <v/>
      </c>
      <c r="AU16" s="496" t="str">
        <f>IF($O16="","",MCAin!$V32*$O16)</f>
        <v/>
      </c>
      <c r="AV16" s="496" t="str">
        <f>IF($P16="","",MCAin!$V32*$P16)</f>
        <v/>
      </c>
      <c r="AW16" s="496" t="str">
        <f>IF($Q16="","",MCAin!$V32*$Q16)</f>
        <v/>
      </c>
      <c r="AX16" s="496" t="str">
        <f>IF($R16="","",MCAin!$V32*$R16)</f>
        <v/>
      </c>
      <c r="AY16" s="497" t="str">
        <f>IF($S16="","",MCAin!$V32*$S16)</f>
        <v/>
      </c>
      <c r="AZ16" s="495" t="str">
        <f>IF($N16="","",MCAin!$W32*$N16)</f>
        <v/>
      </c>
      <c r="BA16" s="496" t="str">
        <f>IF($O16="","",MCAin!$W32*$O16)</f>
        <v/>
      </c>
      <c r="BB16" s="496" t="str">
        <f>IF($P16="","",MCAin!$W32*$P16)</f>
        <v/>
      </c>
      <c r="BC16" s="496" t="str">
        <f>IF($Q16="","",MCAin!$W32*$Q16)</f>
        <v/>
      </c>
      <c r="BD16" s="496" t="str">
        <f>IF($R16="","",MCAin!$W32*$R16)</f>
        <v/>
      </c>
      <c r="BE16" s="497" t="str">
        <f>IF($S16="","",MCAin!$W32*$S16)</f>
        <v/>
      </c>
      <c r="BF16" s="495" t="str">
        <f>IF($N16="","",MCAin!$X32*$N16)</f>
        <v/>
      </c>
      <c r="BG16" s="496" t="str">
        <f>IF($O16="","",MCAin!$X32*$O16)</f>
        <v/>
      </c>
      <c r="BH16" s="496" t="str">
        <f>IF($P16="","",MCAin!$X32*$P16)</f>
        <v/>
      </c>
      <c r="BI16" s="496" t="str">
        <f>IF($Q16="","",MCAin!$X32*$Q16)</f>
        <v/>
      </c>
      <c r="BJ16" s="496" t="str">
        <f>IF($R16="","",MCAin!$X32*$R16)</f>
        <v/>
      </c>
      <c r="BK16" s="497" t="str">
        <f>IF($S16="","",MCAin!$X32*$S16)</f>
        <v/>
      </c>
      <c r="BL16" s="495" t="str">
        <f>IF($N16="","",MCAin!$Y32*$N16)</f>
        <v/>
      </c>
      <c r="BM16" s="496" t="str">
        <f>IF($O16="","",MCAin!$Y32*$O16)</f>
        <v/>
      </c>
      <c r="BN16" s="496" t="str">
        <f>IF($P16="","",MCAin!$Y32*$P16)</f>
        <v/>
      </c>
      <c r="BO16" s="496" t="str">
        <f>IF($Q16="","",MCAin!$Y32*$Q16)</f>
        <v/>
      </c>
      <c r="BP16" s="496" t="str">
        <f>IF($R16="","",MCAin!$Y32*$R16)</f>
        <v/>
      </c>
      <c r="BQ16" s="497" t="str">
        <f>IF($S16="","",MCAin!$Y32*$S16)</f>
        <v/>
      </c>
      <c r="BR16" s="315"/>
      <c r="BS16" s="315"/>
      <c r="BT16" s="315"/>
      <c r="BU16" s="315"/>
      <c r="BV16" s="315"/>
      <c r="BW16" s="315"/>
      <c r="BX16" s="315"/>
      <c r="BY16" s="315"/>
      <c r="BZ16" s="315"/>
    </row>
    <row r="17" spans="1:78" ht="15" customHeight="1">
      <c r="A17" s="498" t="str">
        <f>PTAout!C53</f>
        <v>Cyclists</v>
      </c>
      <c r="B17" s="499"/>
      <c r="C17" s="500"/>
      <c r="D17" s="501"/>
      <c r="E17" s="501"/>
      <c r="F17" s="501"/>
      <c r="G17" s="501"/>
      <c r="H17" s="501"/>
      <c r="I17" s="501"/>
      <c r="J17" s="502"/>
      <c r="K17" s="502"/>
      <c r="L17" s="503"/>
      <c r="M17" s="504"/>
      <c r="N17" s="504"/>
      <c r="O17" s="504"/>
      <c r="P17" s="504"/>
      <c r="Q17" s="504"/>
      <c r="R17" s="504"/>
      <c r="S17" s="504"/>
      <c r="T17" s="504"/>
      <c r="U17" s="504"/>
      <c r="V17" s="507" t="str">
        <f>IF($N17="","",$N17*MCAin!$R33)</f>
        <v/>
      </c>
      <c r="W17" s="508"/>
      <c r="X17" s="508" t="str">
        <f>IF($O17="","",$O17*MCAin!$R33)</f>
        <v/>
      </c>
      <c r="Y17" s="508" t="str">
        <f>IF($P17="","",$P17*MCAin!$R33)</f>
        <v/>
      </c>
      <c r="Z17" s="508" t="str">
        <f>IF($Q17="","",$Q17*MCAin!$R33)</f>
        <v/>
      </c>
      <c r="AA17" s="509" t="str">
        <f>IF($S17="","",$S17*MCAin!$R33)</f>
        <v/>
      </c>
      <c r="AB17" s="507" t="str">
        <f>IF($N17="","",$N17*MCAin!$S33)</f>
        <v/>
      </c>
      <c r="AC17" s="508"/>
      <c r="AD17" s="508" t="str">
        <f>IF($O17="","",$O17*MCAin!$S33)</f>
        <v/>
      </c>
      <c r="AE17" s="508" t="str">
        <f>IF($P17="","",$P17*MCAin!$R33)</f>
        <v/>
      </c>
      <c r="AF17" s="508" t="str">
        <f>IF($Q17="","",$Q17*MCAin!$R33)</f>
        <v/>
      </c>
      <c r="AG17" s="509" t="str">
        <f>IF($S17="","",$S17*MCAin!$S33)</f>
        <v/>
      </c>
      <c r="AH17" s="507" t="str">
        <f>IF($N17="","",$N17*MCAin!$T33)</f>
        <v/>
      </c>
      <c r="AI17" s="508"/>
      <c r="AJ17" s="508" t="str">
        <f>IF($O17="","",$O17*MCAin!$T33)</f>
        <v/>
      </c>
      <c r="AK17" s="508" t="str">
        <f>IF($P17="","",$P17*MCAin!$T33)</f>
        <v/>
      </c>
      <c r="AL17" s="508" t="str">
        <f>IF($Q17="","",$Q17*MCAin!$R33)</f>
        <v/>
      </c>
      <c r="AM17" s="509" t="str">
        <f>IF($S17="","",$S17*MCAin!$S33)</f>
        <v/>
      </c>
      <c r="AN17" s="507" t="str">
        <f>IF($N17="","",$N17*MCAin!$U33)</f>
        <v/>
      </c>
      <c r="AO17" s="508"/>
      <c r="AP17" s="508" t="str">
        <f>IF($O17="","",$O17*MCAin!$U33)</f>
        <v/>
      </c>
      <c r="AQ17" s="508" t="str">
        <f>IF($P17="","",$P17*MCAin!$U33)</f>
        <v/>
      </c>
      <c r="AR17" s="508" t="str">
        <f>IF($Q17="","",$Q17*MCAin!$S33)</f>
        <v/>
      </c>
      <c r="AS17" s="509" t="str">
        <f>IF($U17="","",$U17*MCAin!$T33)</f>
        <v/>
      </c>
      <c r="AT17" s="507" t="str">
        <f>IF($N17="","",$N17*MCAin!$V33)</f>
        <v/>
      </c>
      <c r="AU17" s="508"/>
      <c r="AV17" s="508" t="str">
        <f>IF($O17="","",$O17*MCAin!$V33)</f>
        <v/>
      </c>
      <c r="AW17" s="508" t="str">
        <f>IF($P17="","",$P17*MCAin!$V33)</f>
        <v/>
      </c>
      <c r="AX17" s="508" t="str">
        <f>IF($Q17="","",$Q17*MCAin!$V33)</f>
        <v/>
      </c>
      <c r="AY17" s="509" t="str">
        <f>IF($S17="","",$W17*MCAin!$V33)</f>
        <v/>
      </c>
      <c r="AZ17" s="507" t="str">
        <f>IF($N17="","",$N17*MCAin!$W33)</f>
        <v/>
      </c>
      <c r="BA17" s="508"/>
      <c r="BB17" s="508" t="str">
        <f>IF($O17="","",$O17*MCAin!$W33)</f>
        <v/>
      </c>
      <c r="BC17" s="508" t="str">
        <f>IF($P17="","",$P17*MCAin!$W33)</f>
        <v/>
      </c>
      <c r="BD17" s="508" t="str">
        <f>IF($Q17="","",$Q17*MCAin!$W33)</f>
        <v/>
      </c>
      <c r="BE17" s="509" t="str">
        <f>IF($X17="","",$X17*MCAin!$W33)</f>
        <v/>
      </c>
      <c r="BF17" s="507" t="str">
        <f>IF($N17="","",$N17*MCAin!$X33)</f>
        <v/>
      </c>
      <c r="BG17" s="508"/>
      <c r="BH17" s="508" t="str">
        <f>IF($O17="","",$O17*MCAin!$X33)</f>
        <v/>
      </c>
      <c r="BI17" s="508" t="str">
        <f>IF($P17="","",$P17*MCAin!$X33)</f>
        <v/>
      </c>
      <c r="BJ17" s="508" t="str">
        <f>IF($Q17="","",$Q17*MCAin!$X33)</f>
        <v/>
      </c>
      <c r="BK17" s="509" t="str">
        <f>IF($Y17="","",$Y17*MCAin!$X33)</f>
        <v/>
      </c>
      <c r="BL17" s="507" t="str">
        <f>IF($N17="","",$N17*MCAin!$Y33)</f>
        <v/>
      </c>
      <c r="BM17" s="508"/>
      <c r="BN17" s="508" t="str">
        <f>IF($O17="","",$O17*MCAin!$Y33)</f>
        <v/>
      </c>
      <c r="BO17" s="508" t="str">
        <f>IF($P17="","",$P17*MCAin!$Y33)</f>
        <v/>
      </c>
      <c r="BP17" s="508" t="str">
        <f>IF($Q17="","",$Q17*MCAin!$Y33)</f>
        <v/>
      </c>
      <c r="BQ17" s="509" t="str">
        <f>IF($Z17="","",$Z17*MCAin!$Y33)</f>
        <v/>
      </c>
      <c r="BR17" s="315"/>
      <c r="BS17" s="315"/>
      <c r="BT17" s="315"/>
      <c r="BU17" s="315"/>
      <c r="BV17" s="315"/>
      <c r="BW17" s="315"/>
      <c r="BX17" s="315"/>
      <c r="BY17" s="315"/>
      <c r="BZ17" s="315"/>
    </row>
    <row r="18" spans="1:78" ht="15" customHeight="1">
      <c r="A18" s="314"/>
      <c r="B18" s="110" t="str">
        <f>PTAout!D54</f>
        <v>Space</v>
      </c>
      <c r="C18" s="316"/>
      <c r="D18" s="318" t="str">
        <f>PTAout!H54</f>
        <v/>
      </c>
      <c r="E18" s="318" t="str">
        <f>PTAout!L54</f>
        <v/>
      </c>
      <c r="F18" s="318" t="str">
        <f>PTAout!Q54</f>
        <v/>
      </c>
      <c r="G18" s="318" t="str">
        <f>PTAout!V54</f>
        <v/>
      </c>
      <c r="H18" s="318" t="str">
        <f>PTAout!AA54</f>
        <v/>
      </c>
      <c r="I18" s="318" t="str">
        <f>PTAout!AF54</f>
        <v/>
      </c>
      <c r="J18" s="484">
        <f>IF(MCAin!O34="","",MCAin!O34)</f>
        <v>0</v>
      </c>
      <c r="K18" s="484">
        <f>IF(MCAin!P34="","",MCAin!P34)</f>
        <v>4</v>
      </c>
      <c r="L18" s="314"/>
      <c r="M18" s="534" t="str">
        <f>IF(AND(COUNTIF(D18:I18,"&gt;=0")=$D$1,J18&gt;=0,K18&gt;=0,MCAin!$Q34=""),1,"")</f>
        <v/>
      </c>
      <c r="N18" s="343" t="str">
        <f t="shared" ref="N18:S24" si="2">IF(OR($M18&lt;&gt;1,D18=""),"",(D18-$J18)/($K18-$J18))</f>
        <v/>
      </c>
      <c r="O18" s="343" t="str">
        <f t="shared" si="2"/>
        <v/>
      </c>
      <c r="P18" s="343" t="str">
        <f t="shared" si="2"/>
        <v/>
      </c>
      <c r="Q18" s="343" t="str">
        <f t="shared" si="2"/>
        <v/>
      </c>
      <c r="R18" s="343" t="str">
        <f t="shared" si="2"/>
        <v/>
      </c>
      <c r="S18" s="343" t="str">
        <f t="shared" si="2"/>
        <v/>
      </c>
      <c r="T18" s="343"/>
      <c r="U18" s="344"/>
      <c r="V18" s="463" t="str">
        <f>IF($N18="","",MCAin!$R34*$N18)</f>
        <v/>
      </c>
      <c r="W18" s="345" t="str">
        <f>IF($O18="","",MCAin!$R34*$O18)</f>
        <v/>
      </c>
      <c r="X18" s="345" t="str">
        <f>IF($P18="","",MCAin!$R34*$P18)</f>
        <v/>
      </c>
      <c r="Y18" s="345" t="str">
        <f>IF($Q18="","",MCAin!$R34*$Q18)</f>
        <v/>
      </c>
      <c r="Z18" s="345" t="str">
        <f>IF($R18="","",MCAin!$R34*$R18)</f>
        <v/>
      </c>
      <c r="AA18" s="347" t="str">
        <f>IF($S18="","",MCAin!$R34*$S18)</f>
        <v/>
      </c>
      <c r="AB18" s="463" t="str">
        <f>IF($N18="","",MCAin!$S34*$N18)</f>
        <v/>
      </c>
      <c r="AC18" s="345" t="str">
        <f>IF($O18="","",MCAin!$S34*$O18)</f>
        <v/>
      </c>
      <c r="AD18" s="345" t="str">
        <f>IF($P18="","",MCAin!$S34*$P18)</f>
        <v/>
      </c>
      <c r="AE18" s="345" t="str">
        <f>IF($Q18="","",MCAin!$R34*$Q18)</f>
        <v/>
      </c>
      <c r="AF18" s="345" t="str">
        <f>IF($R18="","",MCAin!$R34*$R18)</f>
        <v/>
      </c>
      <c r="AG18" s="347" t="str">
        <f>IF($S18="","",MCAin!$S34*$S18)</f>
        <v/>
      </c>
      <c r="AH18" s="463" t="str">
        <f>IF($N18="","",MCAin!$T34*$N18)</f>
        <v/>
      </c>
      <c r="AI18" s="345" t="str">
        <f>IF($O18="","",MCAin!$T34*$O18)</f>
        <v/>
      </c>
      <c r="AJ18" s="345" t="str">
        <f>IF($P18="","",MCAin!$T34*$P18)</f>
        <v/>
      </c>
      <c r="AK18" s="345" t="str">
        <f>IF($Q18="","",MCAin!$T34*$Q18)</f>
        <v/>
      </c>
      <c r="AL18" s="345" t="str">
        <f>IF($R18="","",MCAin!$R34*$R18)</f>
        <v/>
      </c>
      <c r="AM18" s="347" t="str">
        <f>IF($S18="","",MCAin!$S34*$S18)</f>
        <v/>
      </c>
      <c r="AN18" s="463" t="str">
        <f>IF($N18="","",MCAin!$U34*$N18)</f>
        <v/>
      </c>
      <c r="AO18" s="345" t="str">
        <f>IF($O18="","",MCAin!$U34*$O18)</f>
        <v/>
      </c>
      <c r="AP18" s="345" t="str">
        <f>IF($P18="","",MCAin!$U34*$P18)</f>
        <v/>
      </c>
      <c r="AQ18" s="345" t="str">
        <f>IF($Q18="","",MCAin!$U34*$Q18)</f>
        <v/>
      </c>
      <c r="AR18" s="345" t="str">
        <f>IF($R18="","",MCAin!$U34*$R18)</f>
        <v/>
      </c>
      <c r="AS18" s="347" t="str">
        <f>IF($S18="","",MCAin!$U34*$S18)</f>
        <v/>
      </c>
      <c r="AT18" s="463" t="str">
        <f>IF($N18="","",MCAin!$V34*$N18)</f>
        <v/>
      </c>
      <c r="AU18" s="345" t="str">
        <f>IF($O18="","",MCAin!$V34*$O18)</f>
        <v/>
      </c>
      <c r="AV18" s="345" t="str">
        <f>IF($P18="","",MCAin!$V34*$P18)</f>
        <v/>
      </c>
      <c r="AW18" s="345" t="str">
        <f>IF($Q18="","",MCAin!$V34*$Q18)</f>
        <v/>
      </c>
      <c r="AX18" s="345" t="str">
        <f>IF($R18="","",MCAin!$V34*$R18)</f>
        <v/>
      </c>
      <c r="AY18" s="347" t="str">
        <f>IF($S18="","",MCAin!$V34*$S18)</f>
        <v/>
      </c>
      <c r="AZ18" s="463" t="str">
        <f>IF($N18="","",MCAin!$W34*$N18)</f>
        <v/>
      </c>
      <c r="BA18" s="345" t="str">
        <f>IF($O18="","",MCAin!$W34*$O18)</f>
        <v/>
      </c>
      <c r="BB18" s="345" t="str">
        <f>IF($P18="","",MCAin!$W34*$P18)</f>
        <v/>
      </c>
      <c r="BC18" s="345" t="str">
        <f>IF($Q18="","",MCAin!$W34*$Q18)</f>
        <v/>
      </c>
      <c r="BD18" s="345" t="str">
        <f>IF($R18="","",MCAin!$W34*$R18)</f>
        <v/>
      </c>
      <c r="BE18" s="347" t="str">
        <f>IF($S18="","",MCAin!$W34*$S18)</f>
        <v/>
      </c>
      <c r="BF18" s="463" t="str">
        <f>IF($N18="","",MCAin!$X34*$N18)</f>
        <v/>
      </c>
      <c r="BG18" s="345" t="str">
        <f>IF($O18="","",MCAin!$X34*$O18)</f>
        <v/>
      </c>
      <c r="BH18" s="345" t="str">
        <f>IF($P18="","",MCAin!$X34*$P18)</f>
        <v/>
      </c>
      <c r="BI18" s="345" t="str">
        <f>IF($Q18="","",MCAin!$X34*$Q18)</f>
        <v/>
      </c>
      <c r="BJ18" s="345" t="str">
        <f>IF($R18="","",MCAin!$X34*$R18)</f>
        <v/>
      </c>
      <c r="BK18" s="347" t="str">
        <f>IF($S18="","",MCAin!$X34*$S18)</f>
        <v/>
      </c>
      <c r="BL18" s="463" t="str">
        <f>IF($N18="","",MCAin!$Y34*$N18)</f>
        <v/>
      </c>
      <c r="BM18" s="345" t="str">
        <f>IF($O18="","",MCAin!$Y34*$O18)</f>
        <v/>
      </c>
      <c r="BN18" s="345" t="str">
        <f>IF($P18="","",MCAin!$Y34*$P18)</f>
        <v/>
      </c>
      <c r="BO18" s="345" t="str">
        <f>IF($Q18="","",MCAin!$Y34*$Q18)</f>
        <v/>
      </c>
      <c r="BP18" s="345" t="str">
        <f>IF($R18="","",MCAin!$Y34*$R18)</f>
        <v/>
      </c>
      <c r="BQ18" s="347" t="str">
        <f>IF($S18="","",MCAin!$Y34*$S18)</f>
        <v/>
      </c>
      <c r="BR18" s="315"/>
      <c r="BS18" s="315"/>
      <c r="BT18" s="315"/>
      <c r="BU18" s="315"/>
      <c r="BV18" s="315"/>
      <c r="BW18" s="315"/>
      <c r="BX18" s="315"/>
      <c r="BY18" s="315"/>
      <c r="BZ18" s="315"/>
    </row>
    <row r="19" spans="1:78" ht="15" customHeight="1">
      <c r="A19" s="314"/>
      <c r="B19" s="110" t="str">
        <f>PTAout!D55</f>
        <v>Volume</v>
      </c>
      <c r="C19" s="316"/>
      <c r="D19" s="318" t="str">
        <f>PTAout!H55</f>
        <v/>
      </c>
      <c r="E19" s="318" t="str">
        <f>PTAout!L55</f>
        <v/>
      </c>
      <c r="F19" s="318" t="str">
        <f>PTAout!Q55</f>
        <v/>
      </c>
      <c r="G19" s="318" t="str">
        <f>PTAout!V55</f>
        <v/>
      </c>
      <c r="H19" s="318" t="str">
        <f>PTAout!AA55</f>
        <v/>
      </c>
      <c r="I19" s="318" t="str">
        <f>PTAout!AF55</f>
        <v/>
      </c>
      <c r="J19" s="484">
        <f>IF(MCAin!O35="","",MCAin!O35)</f>
        <v>0</v>
      </c>
      <c r="K19" s="484">
        <f>IF(MCAin!P35="","",MCAin!P35)</f>
        <v>12000</v>
      </c>
      <c r="L19" s="314"/>
      <c r="M19" s="534" t="str">
        <f>IF(AND(COUNTIF(D19:I19,"&gt;=0")=$D$1,J19&gt;=0,K19&gt;=0,MCAin!$Q35=""),1,"")</f>
        <v/>
      </c>
      <c r="N19" s="343" t="str">
        <f t="shared" si="2"/>
        <v/>
      </c>
      <c r="O19" s="343" t="str">
        <f t="shared" si="2"/>
        <v/>
      </c>
      <c r="P19" s="343" t="str">
        <f t="shared" si="2"/>
        <v/>
      </c>
      <c r="Q19" s="343" t="str">
        <f t="shared" si="2"/>
        <v/>
      </c>
      <c r="R19" s="343" t="str">
        <f t="shared" si="2"/>
        <v/>
      </c>
      <c r="S19" s="343" t="str">
        <f t="shared" si="2"/>
        <v/>
      </c>
      <c r="T19" s="343"/>
      <c r="U19" s="344"/>
      <c r="V19" s="463" t="str">
        <f>IF($N19="","",MCAin!$R35*$N19)</f>
        <v/>
      </c>
      <c r="W19" s="345" t="str">
        <f>IF($O19="","",MCAin!$R35*$O19)</f>
        <v/>
      </c>
      <c r="X19" s="345" t="str">
        <f>IF($P19="","",MCAin!$R35*$P19)</f>
        <v/>
      </c>
      <c r="Y19" s="345" t="str">
        <f>IF($Q19="","",MCAin!$R35*$Q19)</f>
        <v/>
      </c>
      <c r="Z19" s="345" t="str">
        <f>IF($R19="","",MCAin!$R35*$R19)</f>
        <v/>
      </c>
      <c r="AA19" s="347" t="str">
        <f>IF($S19="","",MCAin!$R35*$S19)</f>
        <v/>
      </c>
      <c r="AB19" s="463" t="str">
        <f>IF($N19="","",MCAin!$S35*$N19)</f>
        <v/>
      </c>
      <c r="AC19" s="345" t="str">
        <f>IF($O19="","",MCAin!$S35*$O19)</f>
        <v/>
      </c>
      <c r="AD19" s="345" t="str">
        <f>IF($P19="","",MCAin!$S35*$P19)</f>
        <v/>
      </c>
      <c r="AE19" s="345" t="str">
        <f>IF($Q19="","",MCAin!$R35*$Q19)</f>
        <v/>
      </c>
      <c r="AF19" s="345" t="str">
        <f>IF($R19="","",MCAin!$R35*$R19)</f>
        <v/>
      </c>
      <c r="AG19" s="347" t="str">
        <f>IF($S19="","",MCAin!$S35*$S19)</f>
        <v/>
      </c>
      <c r="AH19" s="463" t="str">
        <f>IF($N19="","",MCAin!$T35*$N19)</f>
        <v/>
      </c>
      <c r="AI19" s="345" t="str">
        <f>IF($O19="","",MCAin!$T35*$O19)</f>
        <v/>
      </c>
      <c r="AJ19" s="345" t="str">
        <f>IF($P19="","",MCAin!$T35*$P19)</f>
        <v/>
      </c>
      <c r="AK19" s="345" t="str">
        <f>IF($Q19="","",MCAin!$T35*$Q19)</f>
        <v/>
      </c>
      <c r="AL19" s="345" t="str">
        <f>IF($R19="","",MCAin!$R35*$R19)</f>
        <v/>
      </c>
      <c r="AM19" s="347" t="str">
        <f>IF($S19="","",MCAin!$S35*$S19)</f>
        <v/>
      </c>
      <c r="AN19" s="463" t="str">
        <f>IF($N19="","",MCAin!$U35*$N19)</f>
        <v/>
      </c>
      <c r="AO19" s="345" t="str">
        <f>IF($O19="","",MCAin!$U35*$O19)</f>
        <v/>
      </c>
      <c r="AP19" s="345" t="str">
        <f>IF($P19="","",MCAin!$U35*$P19)</f>
        <v/>
      </c>
      <c r="AQ19" s="345" t="str">
        <f>IF($Q19="","",MCAin!$U35*$Q19)</f>
        <v/>
      </c>
      <c r="AR19" s="345" t="str">
        <f>IF($R19="","",MCAin!$U35*$R19)</f>
        <v/>
      </c>
      <c r="AS19" s="347" t="str">
        <f>IF($S19="","",MCAin!$U35*$S19)</f>
        <v/>
      </c>
      <c r="AT19" s="463" t="str">
        <f>IF($N19="","",MCAin!$V35*$N19)</f>
        <v/>
      </c>
      <c r="AU19" s="345" t="str">
        <f>IF($O19="","",MCAin!$V35*$O19)</f>
        <v/>
      </c>
      <c r="AV19" s="345" t="str">
        <f>IF($P19="","",MCAin!$V35*$P19)</f>
        <v/>
      </c>
      <c r="AW19" s="345" t="str">
        <f>IF($Q19="","",MCAin!$V35*$Q19)</f>
        <v/>
      </c>
      <c r="AX19" s="345" t="str">
        <f>IF($R19="","",MCAin!$V35*$R19)</f>
        <v/>
      </c>
      <c r="AY19" s="347" t="str">
        <f>IF($S19="","",MCAin!$V35*$S19)</f>
        <v/>
      </c>
      <c r="AZ19" s="463" t="str">
        <f>IF($N19="","",MCAin!$W35*$N19)</f>
        <v/>
      </c>
      <c r="BA19" s="345" t="str">
        <f>IF($O19="","",MCAin!$W35*$O19)</f>
        <v/>
      </c>
      <c r="BB19" s="345" t="str">
        <f>IF($P19="","",MCAin!$W35*$P19)</f>
        <v/>
      </c>
      <c r="BC19" s="345" t="str">
        <f>IF($Q19="","",MCAin!$W35*$Q19)</f>
        <v/>
      </c>
      <c r="BD19" s="345" t="str">
        <f>IF($R19="","",MCAin!$W35*$R19)</f>
        <v/>
      </c>
      <c r="BE19" s="347" t="str">
        <f>IF($S19="","",MCAin!$W35*$S19)</f>
        <v/>
      </c>
      <c r="BF19" s="463" t="str">
        <f>IF($N19="","",MCAin!$X35*$N19)</f>
        <v/>
      </c>
      <c r="BG19" s="345" t="str">
        <f>IF($O19="","",MCAin!$X35*$O19)</f>
        <v/>
      </c>
      <c r="BH19" s="345" t="str">
        <f>IF($P19="","",MCAin!$X35*$P19)</f>
        <v/>
      </c>
      <c r="BI19" s="345" t="str">
        <f>IF($Q19="","",MCAin!$X35*$Q19)</f>
        <v/>
      </c>
      <c r="BJ19" s="345" t="str">
        <f>IF($R19="","",MCAin!$X35*$R19)</f>
        <v/>
      </c>
      <c r="BK19" s="347" t="str">
        <f>IF($S19="","",MCAin!$X35*$S19)</f>
        <v/>
      </c>
      <c r="BL19" s="463" t="str">
        <f>IF($N19="","",MCAin!$Y35*$N19)</f>
        <v/>
      </c>
      <c r="BM19" s="345" t="str">
        <f>IF($O19="","",MCAin!$Y35*$O19)</f>
        <v/>
      </c>
      <c r="BN19" s="345" t="str">
        <f>IF($P19="","",MCAin!$Y35*$P19)</f>
        <v/>
      </c>
      <c r="BO19" s="345" t="str">
        <f>IF($Q19="","",MCAin!$Y35*$Q19)</f>
        <v/>
      </c>
      <c r="BP19" s="345" t="str">
        <f>IF($R19="","",MCAin!$Y35*$R19)</f>
        <v/>
      </c>
      <c r="BQ19" s="347" t="str">
        <f>IF($S19="","",MCAin!$Y35*$S19)</f>
        <v/>
      </c>
      <c r="BR19" s="315"/>
      <c r="BS19" s="315"/>
      <c r="BT19" s="315"/>
      <c r="BU19" s="315"/>
      <c r="BV19" s="315"/>
      <c r="BW19" s="315"/>
      <c r="BX19" s="315"/>
      <c r="BY19" s="315"/>
      <c r="BZ19" s="315"/>
    </row>
    <row r="20" spans="1:78" ht="15" customHeight="1">
      <c r="A20" s="314"/>
      <c r="B20" s="110" t="str">
        <f>PTAout!D56</f>
        <v>Speed</v>
      </c>
      <c r="C20" s="316"/>
      <c r="D20" s="234" t="str">
        <f>PTAout!H56</f>
        <v/>
      </c>
      <c r="E20" s="234" t="str">
        <f>PTAout!L56</f>
        <v/>
      </c>
      <c r="F20" s="234" t="str">
        <f>PTAout!Q56</f>
        <v/>
      </c>
      <c r="G20" s="234" t="str">
        <f>PTAout!V56</f>
        <v/>
      </c>
      <c r="H20" s="234" t="str">
        <f>PTAout!AA56</f>
        <v/>
      </c>
      <c r="I20" s="234" t="str">
        <f>PTAout!AF56</f>
        <v/>
      </c>
      <c r="J20" s="484">
        <f>IF(MCAin!O36="","",MCAin!O36)</f>
        <v>5</v>
      </c>
      <c r="K20" s="484">
        <f>IF(MCAin!P36="","",MCAin!P36)</f>
        <v>60</v>
      </c>
      <c r="L20" s="314"/>
      <c r="M20" s="534" t="str">
        <f>IF(AND(COUNTIF(D20:I20,"&gt;=0")=$D$1,J20&gt;=0,K20&gt;=0,MCAin!$Q36=""),1,"")</f>
        <v/>
      </c>
      <c r="N20" s="343" t="str">
        <f t="shared" si="2"/>
        <v/>
      </c>
      <c r="O20" s="343" t="str">
        <f t="shared" si="2"/>
        <v/>
      </c>
      <c r="P20" s="343" t="str">
        <f t="shared" si="2"/>
        <v/>
      </c>
      <c r="Q20" s="343" t="str">
        <f t="shared" si="2"/>
        <v/>
      </c>
      <c r="R20" s="343" t="str">
        <f t="shared" si="2"/>
        <v/>
      </c>
      <c r="S20" s="343" t="str">
        <f t="shared" si="2"/>
        <v/>
      </c>
      <c r="T20" s="343"/>
      <c r="U20" s="344"/>
      <c r="V20" s="463" t="str">
        <f>IF($N20="","",MCAin!$R36*$N20)</f>
        <v/>
      </c>
      <c r="W20" s="345" t="str">
        <f>IF($O20="","",MCAin!$R36*$O20)</f>
        <v/>
      </c>
      <c r="X20" s="345" t="str">
        <f>IF($P20="","",MCAin!$R36*$P20)</f>
        <v/>
      </c>
      <c r="Y20" s="345" t="str">
        <f>IF($Q20="","",MCAin!$R36*$Q20)</f>
        <v/>
      </c>
      <c r="Z20" s="345" t="str">
        <f>IF($R20="","",MCAin!$R36*$R20)</f>
        <v/>
      </c>
      <c r="AA20" s="347" t="str">
        <f>IF($S20="","",MCAin!$R36*$S20)</f>
        <v/>
      </c>
      <c r="AB20" s="463" t="str">
        <f>IF($N20="","",MCAin!$S36*$N20)</f>
        <v/>
      </c>
      <c r="AC20" s="345" t="str">
        <f>IF($O20="","",MCAin!$S36*$O20)</f>
        <v/>
      </c>
      <c r="AD20" s="345" t="str">
        <f>IF($P20="","",MCAin!$S36*$P20)</f>
        <v/>
      </c>
      <c r="AE20" s="345" t="str">
        <f>IF($Q20="","",MCAin!$R36*$Q20)</f>
        <v/>
      </c>
      <c r="AF20" s="345" t="str">
        <f>IF($R20="","",MCAin!$R36*$R20)</f>
        <v/>
      </c>
      <c r="AG20" s="347" t="str">
        <f>IF($S20="","",MCAin!$S36*$S20)</f>
        <v/>
      </c>
      <c r="AH20" s="463" t="str">
        <f>IF($N20="","",MCAin!$T36*$N20)</f>
        <v/>
      </c>
      <c r="AI20" s="345" t="str">
        <f>IF($O20="","",MCAin!$T36*$O20)</f>
        <v/>
      </c>
      <c r="AJ20" s="345" t="str">
        <f>IF($P20="","",MCAin!$T36*$P20)</f>
        <v/>
      </c>
      <c r="AK20" s="345" t="str">
        <f>IF($Q20="","",MCAin!$T36*$Q20)</f>
        <v/>
      </c>
      <c r="AL20" s="345" t="str">
        <f>IF($R20="","",MCAin!$R36*$R20)</f>
        <v/>
      </c>
      <c r="AM20" s="347" t="str">
        <f>IF($S20="","",MCAin!$S36*$S20)</f>
        <v/>
      </c>
      <c r="AN20" s="463" t="str">
        <f>IF($N20="","",MCAin!$U36*$N20)</f>
        <v/>
      </c>
      <c r="AO20" s="345" t="str">
        <f>IF($O20="","",MCAin!$U36*$O20)</f>
        <v/>
      </c>
      <c r="AP20" s="345" t="str">
        <f>IF($P20="","",MCAin!$U36*$P20)</f>
        <v/>
      </c>
      <c r="AQ20" s="345" t="str">
        <f>IF($Q20="","",MCAin!$U36*$Q20)</f>
        <v/>
      </c>
      <c r="AR20" s="345" t="str">
        <f>IF($R20="","",MCAin!$U36*$R20)</f>
        <v/>
      </c>
      <c r="AS20" s="347" t="str">
        <f>IF($S20="","",MCAin!$U36*$S20)</f>
        <v/>
      </c>
      <c r="AT20" s="463" t="str">
        <f>IF($N20="","",MCAin!$V36*$N20)</f>
        <v/>
      </c>
      <c r="AU20" s="345" t="str">
        <f>IF($O20="","",MCAin!$V36*$O20)</f>
        <v/>
      </c>
      <c r="AV20" s="345" t="str">
        <f>IF($P20="","",MCAin!$V36*$P20)</f>
        <v/>
      </c>
      <c r="AW20" s="345" t="str">
        <f>IF($Q20="","",MCAin!$V36*$Q20)</f>
        <v/>
      </c>
      <c r="AX20" s="345" t="str">
        <f>IF($R20="","",MCAin!$V36*$R20)</f>
        <v/>
      </c>
      <c r="AY20" s="347" t="str">
        <f>IF($S20="","",MCAin!$V36*$S20)</f>
        <v/>
      </c>
      <c r="AZ20" s="463" t="str">
        <f>IF($N20="","",MCAin!$W36*$N20)</f>
        <v/>
      </c>
      <c r="BA20" s="345" t="str">
        <f>IF($O20="","",MCAin!$W36*$O20)</f>
        <v/>
      </c>
      <c r="BB20" s="345" t="str">
        <f>IF($P20="","",MCAin!$W36*$P20)</f>
        <v/>
      </c>
      <c r="BC20" s="345" t="str">
        <f>IF($Q20="","",MCAin!$W36*$Q20)</f>
        <v/>
      </c>
      <c r="BD20" s="345" t="str">
        <f>IF($R20="","",MCAin!$W36*$R20)</f>
        <v/>
      </c>
      <c r="BE20" s="347" t="str">
        <f>IF($S20="","",MCAin!$W36*$S20)</f>
        <v/>
      </c>
      <c r="BF20" s="463" t="str">
        <f>IF($N20="","",MCAin!$X36*$N20)</f>
        <v/>
      </c>
      <c r="BG20" s="345" t="str">
        <f>IF($O20="","",MCAin!$X36*$O20)</f>
        <v/>
      </c>
      <c r="BH20" s="345" t="str">
        <f>IF($P20="","",MCAin!$X36*$P20)</f>
        <v/>
      </c>
      <c r="BI20" s="345" t="str">
        <f>IF($Q20="","",MCAin!$X36*$Q20)</f>
        <v/>
      </c>
      <c r="BJ20" s="345" t="str">
        <f>IF($R20="","",MCAin!$X36*$R20)</f>
        <v/>
      </c>
      <c r="BK20" s="347" t="str">
        <f>IF($S20="","",MCAin!$X36*$S20)</f>
        <v/>
      </c>
      <c r="BL20" s="463" t="str">
        <f>IF($N20="","",MCAin!$Y36*$N20)</f>
        <v/>
      </c>
      <c r="BM20" s="345" t="str">
        <f>IF($O20="","",MCAin!$Y36*$O20)</f>
        <v/>
      </c>
      <c r="BN20" s="345" t="str">
        <f>IF($P20="","",MCAin!$Y36*$P20)</f>
        <v/>
      </c>
      <c r="BO20" s="345" t="str">
        <f>IF($Q20="","",MCAin!$Y36*$Q20)</f>
        <v/>
      </c>
      <c r="BP20" s="345" t="str">
        <f>IF($R20="","",MCAin!$Y36*$R20)</f>
        <v/>
      </c>
      <c r="BQ20" s="347" t="str">
        <f>IF($S20="","",MCAin!$Y36*$S20)</f>
        <v/>
      </c>
      <c r="BR20" s="315"/>
      <c r="BS20" s="315"/>
      <c r="BT20" s="315"/>
      <c r="BU20" s="315"/>
      <c r="BV20" s="315"/>
      <c r="BW20" s="315"/>
      <c r="BX20" s="315"/>
      <c r="BY20" s="315"/>
      <c r="BZ20" s="315"/>
    </row>
    <row r="21" spans="1:78" ht="15" customHeight="1">
      <c r="A21" s="314"/>
      <c r="B21" s="110" t="s">
        <v>296</v>
      </c>
      <c r="C21" s="316"/>
      <c r="D21" s="319"/>
      <c r="E21" s="319"/>
      <c r="F21" s="319"/>
      <c r="G21" s="319"/>
      <c r="H21" s="319"/>
      <c r="I21" s="319"/>
      <c r="J21" s="484">
        <f>IF(MCAin!O37="","",MCAin!O37)</f>
        <v>60</v>
      </c>
      <c r="K21" s="484">
        <f>IF(MCAin!P37="","",MCAin!P37)</f>
        <v>1</v>
      </c>
      <c r="L21" s="314"/>
      <c r="M21" s="534" t="str">
        <f>IF(AND(COUNTIF(D21:I21,"&gt;=0")=$D$1,J21&gt;=0,K21&gt;=0,MCAin!$Q37=""),1,"")</f>
        <v/>
      </c>
      <c r="N21" s="343" t="str">
        <f t="shared" si="2"/>
        <v/>
      </c>
      <c r="O21" s="343" t="str">
        <f t="shared" si="2"/>
        <v/>
      </c>
      <c r="P21" s="343" t="str">
        <f t="shared" si="2"/>
        <v/>
      </c>
      <c r="Q21" s="343" t="str">
        <f t="shared" si="2"/>
        <v/>
      </c>
      <c r="R21" s="343" t="str">
        <f t="shared" si="2"/>
        <v/>
      </c>
      <c r="S21" s="343" t="str">
        <f t="shared" si="2"/>
        <v/>
      </c>
      <c r="T21" s="343"/>
      <c r="U21" s="344"/>
      <c r="V21" s="463" t="str">
        <f>IF($N21="","",MCAin!$R37*$N21)</f>
        <v/>
      </c>
      <c r="W21" s="345" t="str">
        <f>IF($O21="","",MCAin!$R37*$O21)</f>
        <v/>
      </c>
      <c r="X21" s="345" t="str">
        <f>IF($P21="","",MCAin!$R37*$P21)</f>
        <v/>
      </c>
      <c r="Y21" s="345" t="str">
        <f>IF($Q21="","",MCAin!$R37*$Q21)</f>
        <v/>
      </c>
      <c r="Z21" s="345" t="str">
        <f>IF($R21="","",MCAin!$R37*$R21)</f>
        <v/>
      </c>
      <c r="AA21" s="347" t="str">
        <f>IF($S21="","",MCAin!$R37*$S21)</f>
        <v/>
      </c>
      <c r="AB21" s="463" t="str">
        <f>IF($N21="","",MCAin!$S37*$N21)</f>
        <v/>
      </c>
      <c r="AC21" s="345" t="str">
        <f>IF($O21="","",MCAin!$S37*$O21)</f>
        <v/>
      </c>
      <c r="AD21" s="345" t="str">
        <f>IF($P21="","",MCAin!$S37*$P21)</f>
        <v/>
      </c>
      <c r="AE21" s="345" t="str">
        <f>IF($Q21="","",MCAin!$R37*$Q21)</f>
        <v/>
      </c>
      <c r="AF21" s="345" t="str">
        <f>IF($R21="","",MCAin!$R37*$R21)</f>
        <v/>
      </c>
      <c r="AG21" s="347" t="str">
        <f>IF($S21="","",MCAin!$S37*$S21)</f>
        <v/>
      </c>
      <c r="AH21" s="463" t="str">
        <f>IF($N21="","",MCAin!$T37*$N21)</f>
        <v/>
      </c>
      <c r="AI21" s="345" t="str">
        <f>IF($O21="","",MCAin!$T37*$O21)</f>
        <v/>
      </c>
      <c r="AJ21" s="345" t="str">
        <f>IF($P21="","",MCAin!$T37*$P21)</f>
        <v/>
      </c>
      <c r="AK21" s="345" t="str">
        <f>IF($Q21="","",MCAin!$T37*$Q21)</f>
        <v/>
      </c>
      <c r="AL21" s="345" t="str">
        <f>IF($R21="","",MCAin!$R37*$R21)</f>
        <v/>
      </c>
      <c r="AM21" s="347" t="str">
        <f>IF($S21="","",MCAin!$S37*$S21)</f>
        <v/>
      </c>
      <c r="AN21" s="463" t="str">
        <f>IF($N21="","",MCAin!$U37*$N21)</f>
        <v/>
      </c>
      <c r="AO21" s="345" t="str">
        <f>IF($O21="","",MCAin!$U37*$O21)</f>
        <v/>
      </c>
      <c r="AP21" s="345" t="str">
        <f>IF($P21="","",MCAin!$U37*$P21)</f>
        <v/>
      </c>
      <c r="AQ21" s="345" t="str">
        <f>IF($Q21="","",MCAin!$U37*$Q21)</f>
        <v/>
      </c>
      <c r="AR21" s="345" t="str">
        <f>IF($R21="","",MCAin!$U37*$R21)</f>
        <v/>
      </c>
      <c r="AS21" s="347" t="str">
        <f>IF($S21="","",MCAin!$U37*$S21)</f>
        <v/>
      </c>
      <c r="AT21" s="463" t="str">
        <f>IF($N21="","",MCAin!$V37*$N21)</f>
        <v/>
      </c>
      <c r="AU21" s="345" t="str">
        <f>IF($O21="","",MCAin!$V37*$O21)</f>
        <v/>
      </c>
      <c r="AV21" s="345" t="str">
        <f>IF($P21="","",MCAin!$V37*$P21)</f>
        <v/>
      </c>
      <c r="AW21" s="345" t="str">
        <f>IF($Q21="","",MCAin!$V37*$Q21)</f>
        <v/>
      </c>
      <c r="AX21" s="345" t="str">
        <f>IF($R21="","",MCAin!$V37*$R21)</f>
        <v/>
      </c>
      <c r="AY21" s="347" t="str">
        <f>IF($S21="","",MCAin!$V37*$S21)</f>
        <v/>
      </c>
      <c r="AZ21" s="463" t="str">
        <f>IF($N21="","",MCAin!$W37*$N21)</f>
        <v/>
      </c>
      <c r="BA21" s="345" t="str">
        <f>IF($O21="","",MCAin!$W37*$O21)</f>
        <v/>
      </c>
      <c r="BB21" s="345" t="str">
        <f>IF($P21="","",MCAin!$W37*$P21)</f>
        <v/>
      </c>
      <c r="BC21" s="345" t="str">
        <f>IF($Q21="","",MCAin!$W37*$Q21)</f>
        <v/>
      </c>
      <c r="BD21" s="345" t="str">
        <f>IF($R21="","",MCAin!$W37*$R21)</f>
        <v/>
      </c>
      <c r="BE21" s="347" t="str">
        <f>IF($S21="","",MCAin!$W37*$S21)</f>
        <v/>
      </c>
      <c r="BF21" s="463" t="str">
        <f>IF($N21="","",MCAin!$X37*$N21)</f>
        <v/>
      </c>
      <c r="BG21" s="345" t="str">
        <f>IF($O21="","",MCAin!$X37*$O21)</f>
        <v/>
      </c>
      <c r="BH21" s="345" t="str">
        <f>IF($P21="","",MCAin!$X37*$P21)</f>
        <v/>
      </c>
      <c r="BI21" s="345" t="str">
        <f>IF($Q21="","",MCAin!$X37*$Q21)</f>
        <v/>
      </c>
      <c r="BJ21" s="345" t="str">
        <f>IF($R21="","",MCAin!$X37*$R21)</f>
        <v/>
      </c>
      <c r="BK21" s="347" t="str">
        <f>IF($S21="","",MCAin!$X37*$S21)</f>
        <v/>
      </c>
      <c r="BL21" s="463" t="str">
        <f>IF($N21="","",MCAin!$Y37*$N21)</f>
        <v/>
      </c>
      <c r="BM21" s="345" t="str">
        <f>IF($O21="","",MCAin!$Y37*$O21)</f>
        <v/>
      </c>
      <c r="BN21" s="345" t="str">
        <f>IF($P21="","",MCAin!$Y37*$P21)</f>
        <v/>
      </c>
      <c r="BO21" s="345" t="str">
        <f>IF($Q21="","",MCAin!$Y37*$Q21)</f>
        <v/>
      </c>
      <c r="BP21" s="345" t="str">
        <f>IF($R21="","",MCAin!$Y37*$R21)</f>
        <v/>
      </c>
      <c r="BQ21" s="347" t="str">
        <f>IF($S21="","",MCAin!$Y37*$S21)</f>
        <v/>
      </c>
      <c r="BR21" s="315"/>
      <c r="BS21" s="315"/>
      <c r="BT21" s="315"/>
      <c r="BU21" s="315"/>
      <c r="BV21" s="315"/>
      <c r="BW21" s="315"/>
      <c r="BX21" s="315"/>
      <c r="BY21" s="315"/>
      <c r="BZ21" s="315"/>
    </row>
    <row r="22" spans="1:78" ht="15" customHeight="1">
      <c r="A22" s="314"/>
      <c r="B22" s="110" t="str">
        <f>PTAout!D58</f>
        <v>Delays</v>
      </c>
      <c r="C22" s="316"/>
      <c r="D22" s="234" t="str">
        <f>PTAout!H58</f>
        <v/>
      </c>
      <c r="E22" s="234" t="str">
        <f>PTAout!L58</f>
        <v/>
      </c>
      <c r="F22" s="234" t="str">
        <f>PTAout!Q58</f>
        <v/>
      </c>
      <c r="G22" s="234" t="str">
        <f>PTAout!V58</f>
        <v/>
      </c>
      <c r="H22" s="234" t="str">
        <f>PTAout!AA58</f>
        <v/>
      </c>
      <c r="I22" s="234" t="str">
        <f>PTAout!AF58</f>
        <v/>
      </c>
      <c r="J22" s="484">
        <f>IF(MCAin!O38="","",MCAin!O38)</f>
        <v>1.5</v>
      </c>
      <c r="K22" s="484">
        <f>IF(MCAin!P38="","",MCAin!P38)</f>
        <v>0</v>
      </c>
      <c r="L22" s="314"/>
      <c r="M22" s="534" t="str">
        <f>IF(AND(COUNTIF(D22:I22,"&gt;=0")=$D$1,J22&gt;=0,K22&gt;=0,MCAin!$Q38=""),1,"")</f>
        <v/>
      </c>
      <c r="N22" s="343" t="str">
        <f t="shared" si="2"/>
        <v/>
      </c>
      <c r="O22" s="343" t="str">
        <f t="shared" si="2"/>
        <v/>
      </c>
      <c r="P22" s="343" t="str">
        <f t="shared" si="2"/>
        <v/>
      </c>
      <c r="Q22" s="343" t="str">
        <f t="shared" si="2"/>
        <v/>
      </c>
      <c r="R22" s="343" t="str">
        <f t="shared" si="2"/>
        <v/>
      </c>
      <c r="S22" s="343" t="str">
        <f t="shared" si="2"/>
        <v/>
      </c>
      <c r="T22" s="343"/>
      <c r="U22" s="344"/>
      <c r="V22" s="463" t="str">
        <f>IF($N22="","",MCAin!$R38*$N22)</f>
        <v/>
      </c>
      <c r="W22" s="345" t="str">
        <f>IF($O22="","",MCAin!$R38*$O22)</f>
        <v/>
      </c>
      <c r="X22" s="345" t="str">
        <f>IF($P22="","",MCAin!$R38*$P22)</f>
        <v/>
      </c>
      <c r="Y22" s="345" t="str">
        <f>IF($Q22="","",MCAin!$R38*$Q22)</f>
        <v/>
      </c>
      <c r="Z22" s="345" t="str">
        <f>IF($R22="","",MCAin!$R38*$R22)</f>
        <v/>
      </c>
      <c r="AA22" s="347" t="str">
        <f>IF($S22="","",MCAin!$R38*$S22)</f>
        <v/>
      </c>
      <c r="AB22" s="463" t="str">
        <f>IF($N22="","",MCAin!$S38*$N22)</f>
        <v/>
      </c>
      <c r="AC22" s="345" t="str">
        <f>IF($O22="","",MCAin!$S38*$O22)</f>
        <v/>
      </c>
      <c r="AD22" s="345" t="str">
        <f>IF($P22="","",MCAin!$S38*$P22)</f>
        <v/>
      </c>
      <c r="AE22" s="345" t="str">
        <f>IF($Q22="","",MCAin!$R38*$Q22)</f>
        <v/>
      </c>
      <c r="AF22" s="345" t="str">
        <f>IF($R22="","",MCAin!$R38*$R22)</f>
        <v/>
      </c>
      <c r="AG22" s="347" t="str">
        <f>IF($S22="","",MCAin!$S38*$S22)</f>
        <v/>
      </c>
      <c r="AH22" s="463" t="str">
        <f>IF($N22="","",MCAin!$T38*$N22)</f>
        <v/>
      </c>
      <c r="AI22" s="345" t="str">
        <f>IF($O22="","",MCAin!$T38*$O22)</f>
        <v/>
      </c>
      <c r="AJ22" s="345" t="str">
        <f>IF($P22="","",MCAin!$T38*$P22)</f>
        <v/>
      </c>
      <c r="AK22" s="345" t="str">
        <f>IF($Q22="","",MCAin!$T38*$Q22)</f>
        <v/>
      </c>
      <c r="AL22" s="345" t="str">
        <f>IF($R22="","",MCAin!$R38*$R22)</f>
        <v/>
      </c>
      <c r="AM22" s="347" t="str">
        <f>IF($S22="","",MCAin!$S38*$S22)</f>
        <v/>
      </c>
      <c r="AN22" s="463" t="str">
        <f>IF($N22="","",MCAin!$U38*$N22)</f>
        <v/>
      </c>
      <c r="AO22" s="345" t="str">
        <f>IF($O22="","",MCAin!$U38*$O22)</f>
        <v/>
      </c>
      <c r="AP22" s="345" t="str">
        <f>IF($P22="","",MCAin!$U38*$P22)</f>
        <v/>
      </c>
      <c r="AQ22" s="345" t="str">
        <f>IF($Q22="","",MCAin!$U38*$Q22)</f>
        <v/>
      </c>
      <c r="AR22" s="345" t="str">
        <f>IF($R22="","",MCAin!$U38*$R22)</f>
        <v/>
      </c>
      <c r="AS22" s="347" t="str">
        <f>IF($S22="","",MCAin!$U38*$S22)</f>
        <v/>
      </c>
      <c r="AT22" s="463" t="str">
        <f>IF($N22="","",MCAin!$V38*$N22)</f>
        <v/>
      </c>
      <c r="AU22" s="345" t="str">
        <f>IF($O22="","",MCAin!$V38*$O22)</f>
        <v/>
      </c>
      <c r="AV22" s="345" t="str">
        <f>IF($P22="","",MCAin!$V38*$P22)</f>
        <v/>
      </c>
      <c r="AW22" s="345" t="str">
        <f>IF($Q22="","",MCAin!$V38*$Q22)</f>
        <v/>
      </c>
      <c r="AX22" s="345" t="str">
        <f>IF($R22="","",MCAin!$V38*$R22)</f>
        <v/>
      </c>
      <c r="AY22" s="347" t="str">
        <f>IF($S22="","",MCAin!$V38*$S22)</f>
        <v/>
      </c>
      <c r="AZ22" s="463" t="str">
        <f>IF($N22="","",MCAin!$W38*$N22)</f>
        <v/>
      </c>
      <c r="BA22" s="345" t="str">
        <f>IF($O22="","",MCAin!$W38*$O22)</f>
        <v/>
      </c>
      <c r="BB22" s="345" t="str">
        <f>IF($P22="","",MCAin!$W38*$P22)</f>
        <v/>
      </c>
      <c r="BC22" s="345" t="str">
        <f>IF($Q22="","",MCAin!$W38*$Q22)</f>
        <v/>
      </c>
      <c r="BD22" s="345" t="str">
        <f>IF($R22="","",MCAin!$W38*$R22)</f>
        <v/>
      </c>
      <c r="BE22" s="347" t="str">
        <f>IF($S22="","",MCAin!$W38*$S22)</f>
        <v/>
      </c>
      <c r="BF22" s="463" t="str">
        <f>IF($N22="","",MCAin!$X38*$N22)</f>
        <v/>
      </c>
      <c r="BG22" s="345" t="str">
        <f>IF($O22="","",MCAin!$X38*$O22)</f>
        <v/>
      </c>
      <c r="BH22" s="345" t="str">
        <f>IF($P22="","",MCAin!$X38*$P22)</f>
        <v/>
      </c>
      <c r="BI22" s="345" t="str">
        <f>IF($Q22="","",MCAin!$X38*$Q22)</f>
        <v/>
      </c>
      <c r="BJ22" s="345" t="str">
        <f>IF($R22="","",MCAin!$X38*$R22)</f>
        <v/>
      </c>
      <c r="BK22" s="347" t="str">
        <f>IF($S22="","",MCAin!$X38*$S22)</f>
        <v/>
      </c>
      <c r="BL22" s="463" t="str">
        <f>IF($N22="","",MCAin!$Y38*$N22)</f>
        <v/>
      </c>
      <c r="BM22" s="345" t="str">
        <f>IF($O22="","",MCAin!$Y38*$O22)</f>
        <v/>
      </c>
      <c r="BN22" s="345" t="str">
        <f>IF($P22="","",MCAin!$Y38*$P22)</f>
        <v/>
      </c>
      <c r="BO22" s="345" t="str">
        <f>IF($Q22="","",MCAin!$Y38*$Q22)</f>
        <v/>
      </c>
      <c r="BP22" s="345" t="str">
        <f>IF($R22="","",MCAin!$Y38*$R22)</f>
        <v/>
      </c>
      <c r="BQ22" s="347" t="str">
        <f>IF($S22="","",MCAin!$Y38*$S22)</f>
        <v/>
      </c>
      <c r="BR22" s="315"/>
      <c r="BS22" s="315"/>
      <c r="BT22" s="315"/>
      <c r="BU22" s="315"/>
      <c r="BV22" s="315"/>
      <c r="BW22" s="315"/>
      <c r="BX22" s="315"/>
      <c r="BY22" s="315"/>
      <c r="BZ22" s="315"/>
    </row>
    <row r="23" spans="1:78" ht="15" customHeight="1">
      <c r="A23" s="314"/>
      <c r="B23" s="110" t="str">
        <f>PTAout!D59</f>
        <v>Reliability</v>
      </c>
      <c r="C23" s="316"/>
      <c r="D23" s="234" t="str">
        <f>PTAout!H59</f>
        <v/>
      </c>
      <c r="E23" s="234" t="str">
        <f>PTAout!L59</f>
        <v/>
      </c>
      <c r="F23" s="234" t="str">
        <f>PTAout!Q59</f>
        <v/>
      </c>
      <c r="G23" s="234" t="str">
        <f>PTAout!V59</f>
        <v/>
      </c>
      <c r="H23" s="234" t="str">
        <f>PTAout!AA59</f>
        <v/>
      </c>
      <c r="I23" s="234" t="str">
        <f>PTAout!AF59</f>
        <v/>
      </c>
      <c r="J23" s="484" t="str">
        <f>IF(MCAin!O39="","",MCAin!O39)</f>
        <v/>
      </c>
      <c r="K23" s="484" t="str">
        <f>IF(MCAin!P39="","",MCAin!P39)</f>
        <v/>
      </c>
      <c r="L23" s="314"/>
      <c r="M23" s="534" t="str">
        <f>IF(AND(COUNTIF(D23:I23,"&gt;=0")=$D$1,J23&gt;=0,K23&gt;=0,MCAin!$Q39=""),1,"")</f>
        <v/>
      </c>
      <c r="N23" s="343" t="str">
        <f t="shared" si="2"/>
        <v/>
      </c>
      <c r="O23" s="343" t="str">
        <f t="shared" si="2"/>
        <v/>
      </c>
      <c r="P23" s="343" t="str">
        <f t="shared" si="2"/>
        <v/>
      </c>
      <c r="Q23" s="343" t="str">
        <f t="shared" si="2"/>
        <v/>
      </c>
      <c r="R23" s="343" t="str">
        <f t="shared" si="2"/>
        <v/>
      </c>
      <c r="S23" s="343" t="str">
        <f t="shared" si="2"/>
        <v/>
      </c>
      <c r="T23" s="343"/>
      <c r="U23" s="344"/>
      <c r="V23" s="463" t="str">
        <f>IF($N23="","",MCAin!$R39*$N23)</f>
        <v/>
      </c>
      <c r="W23" s="345" t="str">
        <f>IF($O23="","",MCAin!$R39*$O23)</f>
        <v/>
      </c>
      <c r="X23" s="345" t="str">
        <f>IF($P23="","",MCAin!$R39*$P23)</f>
        <v/>
      </c>
      <c r="Y23" s="345" t="str">
        <f>IF($Q23="","",MCAin!$R39*$Q23)</f>
        <v/>
      </c>
      <c r="Z23" s="345" t="str">
        <f>IF($R23="","",MCAin!$R39*$R23)</f>
        <v/>
      </c>
      <c r="AA23" s="347" t="str">
        <f>IF($S23="","",MCAin!$R39*$S23)</f>
        <v/>
      </c>
      <c r="AB23" s="463" t="str">
        <f>IF($N23="","",MCAin!$S39*$N23)</f>
        <v/>
      </c>
      <c r="AC23" s="345" t="str">
        <f>IF($O23="","",MCAin!$S39*$O23)</f>
        <v/>
      </c>
      <c r="AD23" s="345" t="str">
        <f>IF($P23="","",MCAin!$S39*$P23)</f>
        <v/>
      </c>
      <c r="AE23" s="345" t="str">
        <f>IF($Q23="","",MCAin!$R39*$Q23)</f>
        <v/>
      </c>
      <c r="AF23" s="345" t="str">
        <f>IF($R23="","",MCAin!$R39*$R23)</f>
        <v/>
      </c>
      <c r="AG23" s="347" t="str">
        <f>IF($S23="","",MCAin!$S39*$S23)</f>
        <v/>
      </c>
      <c r="AH23" s="463" t="str">
        <f>IF($N23="","",MCAin!$T39*$N23)</f>
        <v/>
      </c>
      <c r="AI23" s="345" t="str">
        <f>IF($O23="","",MCAin!$T39*$O23)</f>
        <v/>
      </c>
      <c r="AJ23" s="345" t="str">
        <f>IF($P23="","",MCAin!$T39*$P23)</f>
        <v/>
      </c>
      <c r="AK23" s="345" t="str">
        <f>IF($Q23="","",MCAin!$T39*$Q23)</f>
        <v/>
      </c>
      <c r="AL23" s="345" t="str">
        <f>IF($R23="","",MCAin!$R39*$R23)</f>
        <v/>
      </c>
      <c r="AM23" s="347" t="str">
        <f>IF($S23="","",MCAin!$S39*$S23)</f>
        <v/>
      </c>
      <c r="AN23" s="463" t="str">
        <f>IF($N23="","",MCAin!$U39*$N23)</f>
        <v/>
      </c>
      <c r="AO23" s="345" t="str">
        <f>IF($O23="","",MCAin!$U39*$O23)</f>
        <v/>
      </c>
      <c r="AP23" s="345" t="str">
        <f>IF($P23="","",MCAin!$U39*$P23)</f>
        <v/>
      </c>
      <c r="AQ23" s="345" t="str">
        <f>IF($Q23="","",MCAin!$U39*$Q23)</f>
        <v/>
      </c>
      <c r="AR23" s="345" t="str">
        <f>IF($R23="","",MCAin!$U39*$R23)</f>
        <v/>
      </c>
      <c r="AS23" s="347" t="str">
        <f>IF($S23="","",MCAin!$U39*$S23)</f>
        <v/>
      </c>
      <c r="AT23" s="463" t="str">
        <f>IF($N23="","",MCAin!$V39*$N23)</f>
        <v/>
      </c>
      <c r="AU23" s="345" t="str">
        <f>IF($O23="","",MCAin!$V39*$O23)</f>
        <v/>
      </c>
      <c r="AV23" s="345" t="str">
        <f>IF($P23="","",MCAin!$V39*$P23)</f>
        <v/>
      </c>
      <c r="AW23" s="345" t="str">
        <f>IF($Q23="","",MCAin!$V39*$Q23)</f>
        <v/>
      </c>
      <c r="AX23" s="345" t="str">
        <f>IF($R23="","",MCAin!$V39*$R23)</f>
        <v/>
      </c>
      <c r="AY23" s="347" t="str">
        <f>IF($S23="","",MCAin!$V39*$S23)</f>
        <v/>
      </c>
      <c r="AZ23" s="463" t="str">
        <f>IF($N23="","",MCAin!$W39*$N23)</f>
        <v/>
      </c>
      <c r="BA23" s="345" t="str">
        <f>IF($O23="","",MCAin!$W39*$O23)</f>
        <v/>
      </c>
      <c r="BB23" s="345" t="str">
        <f>IF($P23="","",MCAin!$W39*$P23)</f>
        <v/>
      </c>
      <c r="BC23" s="345" t="str">
        <f>IF($Q23="","",MCAin!$W39*$Q23)</f>
        <v/>
      </c>
      <c r="BD23" s="345" t="str">
        <f>IF($R23="","",MCAin!$W39*$R23)</f>
        <v/>
      </c>
      <c r="BE23" s="347" t="str">
        <f>IF($S23="","",MCAin!$W39*$S23)</f>
        <v/>
      </c>
      <c r="BF23" s="463" t="str">
        <f>IF($N23="","",MCAin!$X39*$N23)</f>
        <v/>
      </c>
      <c r="BG23" s="345" t="str">
        <f>IF($O23="","",MCAin!$X39*$O23)</f>
        <v/>
      </c>
      <c r="BH23" s="345" t="str">
        <f>IF($P23="","",MCAin!$X39*$P23)</f>
        <v/>
      </c>
      <c r="BI23" s="345" t="str">
        <f>IF($Q23="","",MCAin!$X39*$Q23)</f>
        <v/>
      </c>
      <c r="BJ23" s="345" t="str">
        <f>IF($R23="","",MCAin!$X39*$R23)</f>
        <v/>
      </c>
      <c r="BK23" s="347" t="str">
        <f>IF($S23="","",MCAin!$X39*$S23)</f>
        <v/>
      </c>
      <c r="BL23" s="463" t="str">
        <f>IF($N23="","",MCAin!$Y39*$N23)</f>
        <v/>
      </c>
      <c r="BM23" s="345" t="str">
        <f>IF($O23="","",MCAin!$Y39*$O23)</f>
        <v/>
      </c>
      <c r="BN23" s="345" t="str">
        <f>IF($P23="","",MCAin!$Y39*$P23)</f>
        <v/>
      </c>
      <c r="BO23" s="345" t="str">
        <f>IF($Q23="","",MCAin!$Y39*$Q23)</f>
        <v/>
      </c>
      <c r="BP23" s="345" t="str">
        <f>IF($R23="","",MCAin!$Y39*$R23)</f>
        <v/>
      </c>
      <c r="BQ23" s="347" t="str">
        <f>IF($S23="","",MCAin!$Y39*$S23)</f>
        <v/>
      </c>
      <c r="BR23" s="315"/>
      <c r="BS23" s="315"/>
      <c r="BT23" s="315"/>
      <c r="BU23" s="315"/>
      <c r="BV23" s="315"/>
      <c r="BW23" s="315"/>
      <c r="BX23" s="315"/>
      <c r="BY23" s="315"/>
      <c r="BZ23" s="315"/>
    </row>
    <row r="24" spans="1:78" ht="15" customHeight="1">
      <c r="A24" s="320"/>
      <c r="B24" s="118" t="str">
        <f>PTAout!D60</f>
        <v>Trip quality</v>
      </c>
      <c r="C24" s="321"/>
      <c r="D24" s="323" t="str">
        <f>PTAout!H60</f>
        <v/>
      </c>
      <c r="E24" s="323" t="str">
        <f>PTAout!L60</f>
        <v/>
      </c>
      <c r="F24" s="323" t="str">
        <f>PTAout!Q60</f>
        <v/>
      </c>
      <c r="G24" s="323" t="str">
        <f>PTAout!V60</f>
        <v/>
      </c>
      <c r="H24" s="323" t="str">
        <f>PTAout!AA60</f>
        <v/>
      </c>
      <c r="I24" s="323" t="str">
        <f>PTAout!AF60</f>
        <v/>
      </c>
      <c r="J24" s="489">
        <f>IF(MCAin!O40="","",MCAin!O40)</f>
        <v>0</v>
      </c>
      <c r="K24" s="489">
        <f>IF(MCAin!P40="","",MCAin!P40)</f>
        <v>100</v>
      </c>
      <c r="L24" s="314"/>
      <c r="M24" s="534" t="str">
        <f>IF(AND(COUNTIF(D24:I24,"&gt;=0")=$D$1,J24&gt;=0,K24&gt;=0,MCAin!$Q40=""),1,"")</f>
        <v/>
      </c>
      <c r="N24" s="492" t="str">
        <f t="shared" si="2"/>
        <v/>
      </c>
      <c r="O24" s="492" t="str">
        <f t="shared" si="2"/>
        <v/>
      </c>
      <c r="P24" s="492" t="str">
        <f t="shared" si="2"/>
        <v/>
      </c>
      <c r="Q24" s="492" t="str">
        <f t="shared" si="2"/>
        <v/>
      </c>
      <c r="R24" s="492" t="str">
        <f t="shared" si="2"/>
        <v/>
      </c>
      <c r="S24" s="492" t="str">
        <f t="shared" si="2"/>
        <v/>
      </c>
      <c r="T24" s="343"/>
      <c r="U24" s="344"/>
      <c r="V24" s="495" t="str">
        <f>IF($N24="","",MCAin!$R40*$N24)</f>
        <v/>
      </c>
      <c r="W24" s="496" t="str">
        <f>IF($O24="","",MCAin!$R40*$O24)</f>
        <v/>
      </c>
      <c r="X24" s="496" t="str">
        <f>IF($P24="","",MCAin!$R40*$P24)</f>
        <v/>
      </c>
      <c r="Y24" s="496" t="str">
        <f>IF($Q24="","",MCAin!$R40*$Q24)</f>
        <v/>
      </c>
      <c r="Z24" s="496" t="str">
        <f>IF($R24="","",MCAin!$R40*$R24)</f>
        <v/>
      </c>
      <c r="AA24" s="497" t="str">
        <f>IF($S24="","",MCAin!$R40*$S24)</f>
        <v/>
      </c>
      <c r="AB24" s="495" t="str">
        <f>IF($N24="","",MCAin!$S40*$N24)</f>
        <v/>
      </c>
      <c r="AC24" s="496" t="str">
        <f>IF($O24="","",MCAin!$S40*$O24)</f>
        <v/>
      </c>
      <c r="AD24" s="496" t="str">
        <f>IF($P24="","",MCAin!$S40*$P24)</f>
        <v/>
      </c>
      <c r="AE24" s="496" t="str">
        <f>IF($Q24="","",MCAin!$R40*$Q24)</f>
        <v/>
      </c>
      <c r="AF24" s="496" t="str">
        <f>IF($R24="","",MCAin!$R40*$R24)</f>
        <v/>
      </c>
      <c r="AG24" s="497" t="str">
        <f>IF($S24="","",MCAin!$S40*$S24)</f>
        <v/>
      </c>
      <c r="AH24" s="495" t="str">
        <f>IF($N24="","",MCAin!$T40*$N24)</f>
        <v/>
      </c>
      <c r="AI24" s="496" t="str">
        <f>IF($O24="","",MCAin!$T40*$O24)</f>
        <v/>
      </c>
      <c r="AJ24" s="496" t="str">
        <f>IF($P24="","",MCAin!$T40*$P24)</f>
        <v/>
      </c>
      <c r="AK24" s="496" t="str">
        <f>IF($Q24="","",MCAin!$T40*$Q24)</f>
        <v/>
      </c>
      <c r="AL24" s="496" t="str">
        <f>IF($R24="","",MCAin!$R40*$R24)</f>
        <v/>
      </c>
      <c r="AM24" s="497" t="str">
        <f>IF($S24="","",MCAin!$S40*$S24)</f>
        <v/>
      </c>
      <c r="AN24" s="495" t="str">
        <f>IF($N24="","",MCAin!$U40*$N24)</f>
        <v/>
      </c>
      <c r="AO24" s="496" t="str">
        <f>IF($O24="","",MCAin!$U40*$O24)</f>
        <v/>
      </c>
      <c r="AP24" s="496" t="str">
        <f>IF($P24="","",MCAin!$U40*$P24)</f>
        <v/>
      </c>
      <c r="AQ24" s="496" t="str">
        <f>IF($Q24="","",MCAin!$U40*$Q24)</f>
        <v/>
      </c>
      <c r="AR24" s="496" t="str">
        <f>IF($R24="","",MCAin!$U40*$R24)</f>
        <v/>
      </c>
      <c r="AS24" s="497" t="str">
        <f>IF($S24="","",MCAin!$U40*$S24)</f>
        <v/>
      </c>
      <c r="AT24" s="495" t="str">
        <f>IF($N24="","",MCAin!$V40*$N24)</f>
        <v/>
      </c>
      <c r="AU24" s="496" t="str">
        <f>IF($O24="","",MCAin!$V40*$O24)</f>
        <v/>
      </c>
      <c r="AV24" s="496" t="str">
        <f>IF($P24="","",MCAin!$V40*$P24)</f>
        <v/>
      </c>
      <c r="AW24" s="496" t="str">
        <f>IF($Q24="","",MCAin!$V40*$Q24)</f>
        <v/>
      </c>
      <c r="AX24" s="496" t="str">
        <f>IF($R24="","",MCAin!$V40*$R24)</f>
        <v/>
      </c>
      <c r="AY24" s="497" t="str">
        <f>IF($S24="","",MCAin!$V40*$S24)</f>
        <v/>
      </c>
      <c r="AZ24" s="495" t="str">
        <f>IF($N24="","",MCAin!$W40*$N24)</f>
        <v/>
      </c>
      <c r="BA24" s="496" t="str">
        <f>IF($O24="","",MCAin!$W40*$O24)</f>
        <v/>
      </c>
      <c r="BB24" s="496" t="str">
        <f>IF($P24="","",MCAin!$W40*$P24)</f>
        <v/>
      </c>
      <c r="BC24" s="496" t="str">
        <f>IF($Q24="","",MCAin!$W40*$Q24)</f>
        <v/>
      </c>
      <c r="BD24" s="496" t="str">
        <f>IF($R24="","",MCAin!$W40*$R24)</f>
        <v/>
      </c>
      <c r="BE24" s="497" t="str">
        <f>IF($S24="","",MCAin!$W40*$S24)</f>
        <v/>
      </c>
      <c r="BF24" s="495" t="str">
        <f>IF($N24="","",MCAin!$X40*$N24)</f>
        <v/>
      </c>
      <c r="BG24" s="496" t="str">
        <f>IF($O24="","",MCAin!$X40*$O24)</f>
        <v/>
      </c>
      <c r="BH24" s="496" t="str">
        <f>IF($P24="","",MCAin!$X40*$P24)</f>
        <v/>
      </c>
      <c r="BI24" s="496" t="str">
        <f>IF($Q24="","",MCAin!$X40*$Q24)</f>
        <v/>
      </c>
      <c r="BJ24" s="496" t="str">
        <f>IF($R24="","",MCAin!$X40*$R24)</f>
        <v/>
      </c>
      <c r="BK24" s="497" t="str">
        <f>IF($S24="","",MCAin!$X40*$S24)</f>
        <v/>
      </c>
      <c r="BL24" s="495" t="str">
        <f>IF($N24="","",MCAin!$Y40*$N24)</f>
        <v/>
      </c>
      <c r="BM24" s="496" t="str">
        <f>IF($O24="","",MCAin!$Y40*$O24)</f>
        <v/>
      </c>
      <c r="BN24" s="496" t="str">
        <f>IF($P24="","",MCAin!$Y40*$P24)</f>
        <v/>
      </c>
      <c r="BO24" s="496" t="str">
        <f>IF($Q24="","",MCAin!$Y40*$Q24)</f>
        <v/>
      </c>
      <c r="BP24" s="496" t="str">
        <f>IF($R24="","",MCAin!$Y40*$R24)</f>
        <v/>
      </c>
      <c r="BQ24" s="497" t="str">
        <f>IF($S24="","",MCAin!$Y40*$S24)</f>
        <v/>
      </c>
      <c r="BR24" s="315"/>
      <c r="BS24" s="315"/>
      <c r="BT24" s="315"/>
      <c r="BU24" s="315"/>
      <c r="BV24" s="315"/>
      <c r="BW24" s="315"/>
      <c r="BX24" s="315"/>
      <c r="BY24" s="315"/>
      <c r="BZ24" s="315"/>
    </row>
    <row r="25" spans="1:78" ht="15" customHeight="1">
      <c r="A25" s="498" t="str">
        <f>PTAout!C61</f>
        <v>Micromobility</v>
      </c>
      <c r="B25" s="499"/>
      <c r="C25" s="500"/>
      <c r="D25" s="501"/>
      <c r="E25" s="501"/>
      <c r="F25" s="501"/>
      <c r="G25" s="501"/>
      <c r="H25" s="501"/>
      <c r="I25" s="501"/>
      <c r="J25" s="502"/>
      <c r="K25" s="502"/>
      <c r="L25" s="503"/>
      <c r="M25" s="504"/>
      <c r="N25" s="504"/>
      <c r="O25" s="504"/>
      <c r="P25" s="504"/>
      <c r="Q25" s="504"/>
      <c r="R25" s="504"/>
      <c r="S25" s="504"/>
      <c r="T25" s="504"/>
      <c r="U25" s="504"/>
      <c r="V25" s="507" t="str">
        <f>IF($N25="","",$N25*MCAin!$R41)</f>
        <v/>
      </c>
      <c r="W25" s="508"/>
      <c r="X25" s="508" t="str">
        <f>IF($O25="","",$O25*MCAin!$R41)</f>
        <v/>
      </c>
      <c r="Y25" s="508" t="str">
        <f>IF($P25="","",$P25*MCAin!$R41)</f>
        <v/>
      </c>
      <c r="Z25" s="508" t="str">
        <f>IF($Q25="","",$Q25*MCAin!$R41)</f>
        <v/>
      </c>
      <c r="AA25" s="509" t="str">
        <f>IF($S25="","",$S25*MCAin!$R41)</f>
        <v/>
      </c>
      <c r="AB25" s="507" t="str">
        <f>IF($N25="","",$N25*MCAin!$S41)</f>
        <v/>
      </c>
      <c r="AC25" s="508"/>
      <c r="AD25" s="508" t="str">
        <f>IF($O25="","",$O25*MCAin!$S41)</f>
        <v/>
      </c>
      <c r="AE25" s="508" t="str">
        <f>IF($P25="","",$P25*MCAin!$R41)</f>
        <v/>
      </c>
      <c r="AF25" s="508" t="str">
        <f>IF($Q25="","",$Q25*MCAin!$R41)</f>
        <v/>
      </c>
      <c r="AG25" s="509" t="str">
        <f>IF($S25="","",$S25*MCAin!$S41)</f>
        <v/>
      </c>
      <c r="AH25" s="507" t="str">
        <f>IF($N25="","",$N25*MCAin!$T41)</f>
        <v/>
      </c>
      <c r="AI25" s="508"/>
      <c r="AJ25" s="508" t="str">
        <f>IF($O25="","",$O25*MCAin!$T41)</f>
        <v/>
      </c>
      <c r="AK25" s="508" t="str">
        <f>IF($P25="","",$P25*MCAin!$T41)</f>
        <v/>
      </c>
      <c r="AL25" s="508" t="str">
        <f>IF($Q25="","",$Q25*MCAin!$R41)</f>
        <v/>
      </c>
      <c r="AM25" s="509" t="str">
        <f>IF($S25="","",$S25*MCAin!$S41)</f>
        <v/>
      </c>
      <c r="AN25" s="507" t="str">
        <f>IF($N25="","",$N25*MCAin!$U41)</f>
        <v/>
      </c>
      <c r="AO25" s="508"/>
      <c r="AP25" s="508" t="str">
        <f>IF($O25="","",$O25*MCAin!$U41)</f>
        <v/>
      </c>
      <c r="AQ25" s="508" t="str">
        <f>IF($P25="","",$P25*MCAin!$U41)</f>
        <v/>
      </c>
      <c r="AR25" s="508" t="str">
        <f>IF($Q25="","",$Q25*MCAin!$S41)</f>
        <v/>
      </c>
      <c r="AS25" s="509" t="str">
        <f>IF($U25="","",$U25*MCAin!$T41)</f>
        <v/>
      </c>
      <c r="AT25" s="507" t="str">
        <f>IF($N25="","",$N25*MCAin!$V41)</f>
        <v/>
      </c>
      <c r="AU25" s="508"/>
      <c r="AV25" s="508" t="str">
        <f>IF($O25="","",$O25*MCAin!$V41)</f>
        <v/>
      </c>
      <c r="AW25" s="508" t="str">
        <f>IF($P25="","",$P25*MCAin!$V41)</f>
        <v/>
      </c>
      <c r="AX25" s="508" t="str">
        <f>IF($Q25="","",$Q25*MCAin!$V41)</f>
        <v/>
      </c>
      <c r="AY25" s="509" t="str">
        <f>IF($S25="","",$W25*MCAin!$V41)</f>
        <v/>
      </c>
      <c r="AZ25" s="507" t="str">
        <f>IF($N25="","",$N25*MCAin!$W41)</f>
        <v/>
      </c>
      <c r="BA25" s="508"/>
      <c r="BB25" s="508" t="str">
        <f>IF($O25="","",$O25*MCAin!$W41)</f>
        <v/>
      </c>
      <c r="BC25" s="508" t="str">
        <f>IF($P25="","",$P25*MCAin!$W41)</f>
        <v/>
      </c>
      <c r="BD25" s="508" t="str">
        <f>IF($Q25="","",$Q25*MCAin!$W41)</f>
        <v/>
      </c>
      <c r="BE25" s="509" t="str">
        <f>IF($X25="","",$X25*MCAin!$W41)</f>
        <v/>
      </c>
      <c r="BF25" s="507" t="str">
        <f>IF($N25="","",$N25*MCAin!$X41)</f>
        <v/>
      </c>
      <c r="BG25" s="508"/>
      <c r="BH25" s="508" t="str">
        <f>IF($O25="","",$O25*MCAin!$X41)</f>
        <v/>
      </c>
      <c r="BI25" s="508" t="str">
        <f>IF($P25="","",$P25*MCAin!$X41)</f>
        <v/>
      </c>
      <c r="BJ25" s="508" t="str">
        <f>IF($Q25="","",$Q25*MCAin!$X41)</f>
        <v/>
      </c>
      <c r="BK25" s="509" t="str">
        <f>IF($Y25="","",$Y25*MCAin!$X41)</f>
        <v/>
      </c>
      <c r="BL25" s="507" t="str">
        <f>IF($N25="","",$N25*MCAin!$Y41)</f>
        <v/>
      </c>
      <c r="BM25" s="508"/>
      <c r="BN25" s="508" t="str">
        <f>IF($O25="","",$O25*MCAin!$Y41)</f>
        <v/>
      </c>
      <c r="BO25" s="508" t="str">
        <f>IF($P25="","",$P25*MCAin!$Y41)</f>
        <v/>
      </c>
      <c r="BP25" s="508" t="str">
        <f>IF($Q25="","",$Q25*MCAin!$Y41)</f>
        <v/>
      </c>
      <c r="BQ25" s="509" t="str">
        <f>IF($Z25="","",$Z25*MCAin!$Y41)</f>
        <v/>
      </c>
      <c r="BR25" s="315"/>
      <c r="BS25" s="315"/>
      <c r="BT25" s="315"/>
      <c r="BU25" s="315"/>
      <c r="BV25" s="315"/>
      <c r="BW25" s="315"/>
      <c r="BX25" s="315"/>
      <c r="BY25" s="315"/>
      <c r="BZ25" s="315"/>
    </row>
    <row r="26" spans="1:78" ht="15" customHeight="1">
      <c r="A26" s="314"/>
      <c r="B26" s="110" t="str">
        <f>PTAout!D62</f>
        <v>Space</v>
      </c>
      <c r="C26" s="316"/>
      <c r="D26" s="318" t="str">
        <f>PTAout!H62</f>
        <v/>
      </c>
      <c r="E26" s="318" t="str">
        <f>PTAout!L62</f>
        <v/>
      </c>
      <c r="F26" s="318" t="str">
        <f>PTAout!Q62</f>
        <v/>
      </c>
      <c r="G26" s="318" t="str">
        <f>PTAout!V62</f>
        <v/>
      </c>
      <c r="H26" s="318" t="str">
        <f>PTAout!AA62</f>
        <v/>
      </c>
      <c r="I26" s="318" t="str">
        <f>PTAout!AF62</f>
        <v/>
      </c>
      <c r="J26" s="484">
        <f>IF(MCAin!O42="","",MCAin!O42)</f>
        <v>0</v>
      </c>
      <c r="K26" s="484">
        <f>IF(MCAin!P42="","",MCAin!P42)</f>
        <v>4</v>
      </c>
      <c r="L26" s="314"/>
      <c r="M26" s="534" t="str">
        <f>IF(AND(COUNTIF(D26:I26,"&gt;=0")=$D$1,J26&gt;=0,K26&gt;=0,MCAin!$Q42=""),1,"")</f>
        <v/>
      </c>
      <c r="N26" s="343" t="str">
        <f t="shared" ref="N26:S32" si="3">IF(OR($M26&lt;&gt;1,D26=""),"",(D26-$J26)/($K26-$J26))</f>
        <v/>
      </c>
      <c r="O26" s="343" t="str">
        <f t="shared" si="3"/>
        <v/>
      </c>
      <c r="P26" s="343" t="str">
        <f t="shared" si="3"/>
        <v/>
      </c>
      <c r="Q26" s="343" t="str">
        <f t="shared" si="3"/>
        <v/>
      </c>
      <c r="R26" s="343" t="str">
        <f t="shared" si="3"/>
        <v/>
      </c>
      <c r="S26" s="343" t="str">
        <f t="shared" si="3"/>
        <v/>
      </c>
      <c r="T26" s="343"/>
      <c r="U26" s="344"/>
      <c r="V26" s="463" t="str">
        <f>IF($N26="","",MCAin!$R42*$N26)</f>
        <v/>
      </c>
      <c r="W26" s="345" t="str">
        <f>IF($O26="","",MCAin!$R42*$O26)</f>
        <v/>
      </c>
      <c r="X26" s="345" t="str">
        <f>IF($P26="","",MCAin!$R42*$P26)</f>
        <v/>
      </c>
      <c r="Y26" s="345" t="str">
        <f>IF($Q26="","",MCAin!$R42*$Q26)</f>
        <v/>
      </c>
      <c r="Z26" s="345" t="str">
        <f>IF($R26="","",MCAin!$R42*$R26)</f>
        <v/>
      </c>
      <c r="AA26" s="347" t="str">
        <f>IF($S26="","",MCAin!$R42*$S26)</f>
        <v/>
      </c>
      <c r="AB26" s="463" t="str">
        <f>IF($N26="","",MCAin!$S42*$N26)</f>
        <v/>
      </c>
      <c r="AC26" s="345" t="str">
        <f>IF($O26="","",MCAin!$S42*$O26)</f>
        <v/>
      </c>
      <c r="AD26" s="345" t="str">
        <f>IF($P26="","",MCAin!$S42*$P26)</f>
        <v/>
      </c>
      <c r="AE26" s="345" t="str">
        <f>IF($Q26="","",MCAin!$R42*$Q26)</f>
        <v/>
      </c>
      <c r="AF26" s="345" t="str">
        <f>IF($R26="","",MCAin!$R42*$R26)</f>
        <v/>
      </c>
      <c r="AG26" s="347" t="str">
        <f>IF($S26="","",MCAin!$S42*$S26)</f>
        <v/>
      </c>
      <c r="AH26" s="463" t="str">
        <f>IF($N26="","",MCAin!$T42*$N26)</f>
        <v/>
      </c>
      <c r="AI26" s="345" t="str">
        <f>IF($O26="","",MCAin!$T42*$O26)</f>
        <v/>
      </c>
      <c r="AJ26" s="345" t="str">
        <f>IF($P26="","",MCAin!$T42*$P26)</f>
        <v/>
      </c>
      <c r="AK26" s="345" t="str">
        <f>IF($Q26="","",MCAin!$T42*$Q26)</f>
        <v/>
      </c>
      <c r="AL26" s="345" t="str">
        <f>IF($R26="","",MCAin!$R42*$R26)</f>
        <v/>
      </c>
      <c r="AM26" s="347" t="str">
        <f>IF($S26="","",MCAin!$S42*$S26)</f>
        <v/>
      </c>
      <c r="AN26" s="463" t="str">
        <f>IF($N26="","",MCAin!$U42*$N26)</f>
        <v/>
      </c>
      <c r="AO26" s="345" t="str">
        <f>IF($O26="","",MCAin!$U42*$O26)</f>
        <v/>
      </c>
      <c r="AP26" s="345" t="str">
        <f>IF($P26="","",MCAin!$U42*$P26)</f>
        <v/>
      </c>
      <c r="AQ26" s="345" t="str">
        <f>IF($Q26="","",MCAin!$U42*$Q26)</f>
        <v/>
      </c>
      <c r="AR26" s="345" t="str">
        <f>IF($R26="","",MCAin!$U42*$R26)</f>
        <v/>
      </c>
      <c r="AS26" s="347" t="str">
        <f>IF($S26="","",MCAin!$U42*$S26)</f>
        <v/>
      </c>
      <c r="AT26" s="463" t="str">
        <f>IF($N26="","",MCAin!$V42*$N26)</f>
        <v/>
      </c>
      <c r="AU26" s="345" t="str">
        <f>IF($O26="","",MCAin!$V42*$O26)</f>
        <v/>
      </c>
      <c r="AV26" s="345" t="str">
        <f>IF($P26="","",MCAin!$V42*$P26)</f>
        <v/>
      </c>
      <c r="AW26" s="345" t="str">
        <f>IF($Q26="","",MCAin!$V42*$Q26)</f>
        <v/>
      </c>
      <c r="AX26" s="345" t="str">
        <f>IF($R26="","",MCAin!$V42*$R26)</f>
        <v/>
      </c>
      <c r="AY26" s="347" t="str">
        <f>IF($S26="","",MCAin!$V42*$S26)</f>
        <v/>
      </c>
      <c r="AZ26" s="463" t="str">
        <f>IF($N26="","",MCAin!$W42*$N26)</f>
        <v/>
      </c>
      <c r="BA26" s="345" t="str">
        <f>IF($O26="","",MCAin!$W42*$O26)</f>
        <v/>
      </c>
      <c r="BB26" s="345" t="str">
        <f>IF($P26="","",MCAin!$W42*$P26)</f>
        <v/>
      </c>
      <c r="BC26" s="345" t="str">
        <f>IF($Q26="","",MCAin!$W42*$Q26)</f>
        <v/>
      </c>
      <c r="BD26" s="345" t="str">
        <f>IF($R26="","",MCAin!$W42*$R26)</f>
        <v/>
      </c>
      <c r="BE26" s="347" t="str">
        <f>IF($S26="","",MCAin!$W42*$S26)</f>
        <v/>
      </c>
      <c r="BF26" s="463" t="str">
        <f>IF($N26="","",MCAin!$X42*$N26)</f>
        <v/>
      </c>
      <c r="BG26" s="345" t="str">
        <f>IF($O26="","",MCAin!$X42*$O26)</f>
        <v/>
      </c>
      <c r="BH26" s="345" t="str">
        <f>IF($P26="","",MCAin!$X42*$P26)</f>
        <v/>
      </c>
      <c r="BI26" s="345" t="str">
        <f>IF($Q26="","",MCAin!$X42*$Q26)</f>
        <v/>
      </c>
      <c r="BJ26" s="345" t="str">
        <f>IF($R26="","",MCAin!$X42*$R26)</f>
        <v/>
      </c>
      <c r="BK26" s="347" t="str">
        <f>IF($S26="","",MCAin!$X42*$S26)</f>
        <v/>
      </c>
      <c r="BL26" s="463" t="str">
        <f>IF($N26="","",MCAin!$Y42*$N26)</f>
        <v/>
      </c>
      <c r="BM26" s="345" t="str">
        <f>IF($O26="","",MCAin!$Y42*$O26)</f>
        <v/>
      </c>
      <c r="BN26" s="345" t="str">
        <f>IF($P26="","",MCAin!$Y42*$P26)</f>
        <v/>
      </c>
      <c r="BO26" s="345" t="str">
        <f>IF($Q26="","",MCAin!$Y42*$Q26)</f>
        <v/>
      </c>
      <c r="BP26" s="345" t="str">
        <f>IF($R26="","",MCAin!$Y42*$R26)</f>
        <v/>
      </c>
      <c r="BQ26" s="347" t="str">
        <f>IF($S26="","",MCAin!$Y42*$S26)</f>
        <v/>
      </c>
      <c r="BR26" s="315"/>
      <c r="BS26" s="315"/>
      <c r="BT26" s="315"/>
      <c r="BU26" s="315"/>
      <c r="BV26" s="315"/>
      <c r="BW26" s="315"/>
      <c r="BX26" s="315"/>
      <c r="BY26" s="315"/>
      <c r="BZ26" s="315"/>
    </row>
    <row r="27" spans="1:78" ht="15" customHeight="1">
      <c r="A27" s="314"/>
      <c r="B27" s="110" t="str">
        <f>PTAout!D63</f>
        <v>Volume</v>
      </c>
      <c r="C27" s="316"/>
      <c r="D27" s="318" t="str">
        <f>PTAout!H63</f>
        <v/>
      </c>
      <c r="E27" s="318" t="str">
        <f>PTAout!L63</f>
        <v/>
      </c>
      <c r="F27" s="318" t="str">
        <f>PTAout!Q63</f>
        <v/>
      </c>
      <c r="G27" s="318" t="str">
        <f>PTAout!V63</f>
        <v/>
      </c>
      <c r="H27" s="318" t="str">
        <f>PTAout!AA63</f>
        <v/>
      </c>
      <c r="I27" s="318" t="str">
        <f>PTAout!AF63</f>
        <v/>
      </c>
      <c r="J27" s="484">
        <f>IF(MCAin!O43="","",MCAin!O43)</f>
        <v>0</v>
      </c>
      <c r="K27" s="484">
        <f>IF(MCAin!P43="","",MCAin!P43)</f>
        <v>12000</v>
      </c>
      <c r="L27" s="314"/>
      <c r="M27" s="534" t="str">
        <f>IF(AND(COUNTIF(D27:I27,"&gt;=0")=$D$1,J27&gt;=0,K27&gt;=0,MCAin!$Q43=""),1,"")</f>
        <v/>
      </c>
      <c r="N27" s="343" t="str">
        <f t="shared" si="3"/>
        <v/>
      </c>
      <c r="O27" s="343" t="str">
        <f t="shared" si="3"/>
        <v/>
      </c>
      <c r="P27" s="343" t="str">
        <f t="shared" si="3"/>
        <v/>
      </c>
      <c r="Q27" s="343" t="str">
        <f t="shared" si="3"/>
        <v/>
      </c>
      <c r="R27" s="343" t="str">
        <f t="shared" si="3"/>
        <v/>
      </c>
      <c r="S27" s="343" t="str">
        <f t="shared" si="3"/>
        <v/>
      </c>
      <c r="T27" s="343"/>
      <c r="U27" s="344"/>
      <c r="V27" s="463" t="str">
        <f>IF($N27="","",MCAin!$R43*$N27)</f>
        <v/>
      </c>
      <c r="W27" s="345" t="str">
        <f>IF($O27="","",MCAin!$R43*$O27)</f>
        <v/>
      </c>
      <c r="X27" s="345" t="str">
        <f>IF($P27="","",MCAin!$R43*$P27)</f>
        <v/>
      </c>
      <c r="Y27" s="345" t="str">
        <f>IF($Q27="","",MCAin!$R43*$Q27)</f>
        <v/>
      </c>
      <c r="Z27" s="345" t="str">
        <f>IF($R27="","",MCAin!$R43*$R27)</f>
        <v/>
      </c>
      <c r="AA27" s="347" t="str">
        <f>IF($S27="","",MCAin!$R43*$S27)</f>
        <v/>
      </c>
      <c r="AB27" s="463" t="str">
        <f>IF($N27="","",MCAin!$S43*$N27)</f>
        <v/>
      </c>
      <c r="AC27" s="345" t="str">
        <f>IF($O27="","",MCAin!$S43*$O27)</f>
        <v/>
      </c>
      <c r="AD27" s="345" t="str">
        <f>IF($P27="","",MCAin!$S43*$P27)</f>
        <v/>
      </c>
      <c r="AE27" s="345" t="str">
        <f>IF($Q27="","",MCAin!$R43*$Q27)</f>
        <v/>
      </c>
      <c r="AF27" s="345" t="str">
        <f>IF($R27="","",MCAin!$R43*$R27)</f>
        <v/>
      </c>
      <c r="AG27" s="347" t="str">
        <f>IF($S27="","",MCAin!$S43*$S27)</f>
        <v/>
      </c>
      <c r="AH27" s="463" t="str">
        <f>IF($N27="","",MCAin!$T43*$N27)</f>
        <v/>
      </c>
      <c r="AI27" s="345" t="str">
        <f>IF($O27="","",MCAin!$T43*$O27)</f>
        <v/>
      </c>
      <c r="AJ27" s="345" t="str">
        <f>IF($P27="","",MCAin!$T43*$P27)</f>
        <v/>
      </c>
      <c r="AK27" s="345" t="str">
        <f>IF($Q27="","",MCAin!$T43*$Q27)</f>
        <v/>
      </c>
      <c r="AL27" s="345" t="str">
        <f>IF($R27="","",MCAin!$R43*$R27)</f>
        <v/>
      </c>
      <c r="AM27" s="347" t="str">
        <f>IF($S27="","",MCAin!$S43*$S27)</f>
        <v/>
      </c>
      <c r="AN27" s="463" t="str">
        <f>IF($N27="","",MCAin!$U43*$N27)</f>
        <v/>
      </c>
      <c r="AO27" s="345" t="str">
        <f>IF($O27="","",MCAin!$U43*$O27)</f>
        <v/>
      </c>
      <c r="AP27" s="345" t="str">
        <f>IF($P27="","",MCAin!$U43*$P27)</f>
        <v/>
      </c>
      <c r="AQ27" s="345" t="str">
        <f>IF($Q27="","",MCAin!$U43*$Q27)</f>
        <v/>
      </c>
      <c r="AR27" s="345" t="str">
        <f>IF($R27="","",MCAin!$U43*$R27)</f>
        <v/>
      </c>
      <c r="AS27" s="347" t="str">
        <f>IF($S27="","",MCAin!$U43*$S27)</f>
        <v/>
      </c>
      <c r="AT27" s="463" t="str">
        <f>IF($N27="","",MCAin!$V43*$N27)</f>
        <v/>
      </c>
      <c r="AU27" s="345" t="str">
        <f>IF($O27="","",MCAin!$V43*$O27)</f>
        <v/>
      </c>
      <c r="AV27" s="345" t="str">
        <f>IF($P27="","",MCAin!$V43*$P27)</f>
        <v/>
      </c>
      <c r="AW27" s="345" t="str">
        <f>IF($Q27="","",MCAin!$V43*$Q27)</f>
        <v/>
      </c>
      <c r="AX27" s="345" t="str">
        <f>IF($R27="","",MCAin!$V43*$R27)</f>
        <v/>
      </c>
      <c r="AY27" s="347" t="str">
        <f>IF($S27="","",MCAin!$V43*$S27)</f>
        <v/>
      </c>
      <c r="AZ27" s="463" t="str">
        <f>IF($N27="","",MCAin!$W43*$N27)</f>
        <v/>
      </c>
      <c r="BA27" s="345" t="str">
        <f>IF($O27="","",MCAin!$W43*$O27)</f>
        <v/>
      </c>
      <c r="BB27" s="345" t="str">
        <f>IF($P27="","",MCAin!$W43*$P27)</f>
        <v/>
      </c>
      <c r="BC27" s="345" t="str">
        <f>IF($Q27="","",MCAin!$W43*$Q27)</f>
        <v/>
      </c>
      <c r="BD27" s="345" t="str">
        <f>IF($R27="","",MCAin!$W43*$R27)</f>
        <v/>
      </c>
      <c r="BE27" s="347" t="str">
        <f>IF($S27="","",MCAin!$W43*$S27)</f>
        <v/>
      </c>
      <c r="BF27" s="463" t="str">
        <f>IF($N27="","",MCAin!$X43*$N27)</f>
        <v/>
      </c>
      <c r="BG27" s="345" t="str">
        <f>IF($O27="","",MCAin!$X43*$O27)</f>
        <v/>
      </c>
      <c r="BH27" s="345" t="str">
        <f>IF($P27="","",MCAin!$X43*$P27)</f>
        <v/>
      </c>
      <c r="BI27" s="345" t="str">
        <f>IF($Q27="","",MCAin!$X43*$Q27)</f>
        <v/>
      </c>
      <c r="BJ27" s="345" t="str">
        <f>IF($R27="","",MCAin!$X43*$R27)</f>
        <v/>
      </c>
      <c r="BK27" s="347" t="str">
        <f>IF($S27="","",MCAin!$X43*$S27)</f>
        <v/>
      </c>
      <c r="BL27" s="463" t="str">
        <f>IF($N27="","",MCAin!$Y43*$N27)</f>
        <v/>
      </c>
      <c r="BM27" s="345" t="str">
        <f>IF($O27="","",MCAin!$Y43*$O27)</f>
        <v/>
      </c>
      <c r="BN27" s="345" t="str">
        <f>IF($P27="","",MCAin!$Y43*$P27)</f>
        <v/>
      </c>
      <c r="BO27" s="345" t="str">
        <f>IF($Q27="","",MCAin!$Y43*$Q27)</f>
        <v/>
      </c>
      <c r="BP27" s="345" t="str">
        <f>IF($R27="","",MCAin!$Y43*$R27)</f>
        <v/>
      </c>
      <c r="BQ27" s="347" t="str">
        <f>IF($S27="","",MCAin!$Y43*$S27)</f>
        <v/>
      </c>
      <c r="BR27" s="315"/>
      <c r="BS27" s="315"/>
      <c r="BT27" s="315"/>
      <c r="BU27" s="315"/>
      <c r="BV27" s="315"/>
      <c r="BW27" s="315"/>
      <c r="BX27" s="315"/>
      <c r="BY27" s="315"/>
      <c r="BZ27" s="315"/>
    </row>
    <row r="28" spans="1:78" ht="15" customHeight="1">
      <c r="A28" s="314"/>
      <c r="B28" s="110" t="str">
        <f>PTAout!D64</f>
        <v>Speed</v>
      </c>
      <c r="C28" s="316"/>
      <c r="D28" s="234" t="str">
        <f>PTAout!H64</f>
        <v/>
      </c>
      <c r="E28" s="234" t="str">
        <f>PTAout!L64</f>
        <v/>
      </c>
      <c r="F28" s="234" t="str">
        <f>PTAout!Q64</f>
        <v/>
      </c>
      <c r="G28" s="234" t="str">
        <f>PTAout!V64</f>
        <v/>
      </c>
      <c r="H28" s="234" t="str">
        <f>PTAout!AA64</f>
        <v/>
      </c>
      <c r="I28" s="234" t="str">
        <f>PTAout!AF64</f>
        <v/>
      </c>
      <c r="J28" s="484">
        <f>IF(MCAin!O44="","",MCAin!O44)</f>
        <v>5</v>
      </c>
      <c r="K28" s="484">
        <f>IF(MCAin!P44="","",MCAin!P44)</f>
        <v>60</v>
      </c>
      <c r="L28" s="314"/>
      <c r="M28" s="534" t="str">
        <f>IF(AND(COUNTIF(D28:I28,"&gt;=0")=$D$1,J28&gt;=0,K28&gt;=0,MCAin!$Q44=""),1,"")</f>
        <v/>
      </c>
      <c r="N28" s="343" t="str">
        <f t="shared" si="3"/>
        <v/>
      </c>
      <c r="O28" s="343" t="str">
        <f t="shared" si="3"/>
        <v/>
      </c>
      <c r="P28" s="343" t="str">
        <f t="shared" si="3"/>
        <v/>
      </c>
      <c r="Q28" s="343" t="str">
        <f t="shared" si="3"/>
        <v/>
      </c>
      <c r="R28" s="343" t="str">
        <f t="shared" si="3"/>
        <v/>
      </c>
      <c r="S28" s="343" t="str">
        <f t="shared" si="3"/>
        <v/>
      </c>
      <c r="T28" s="343"/>
      <c r="U28" s="344"/>
      <c r="V28" s="463" t="str">
        <f>IF($N28="","",MCAin!$R44*$N28)</f>
        <v/>
      </c>
      <c r="W28" s="345" t="str">
        <f>IF($O28="","",MCAin!$R44*$O28)</f>
        <v/>
      </c>
      <c r="X28" s="345" t="str">
        <f>IF($P28="","",MCAin!$R44*$P28)</f>
        <v/>
      </c>
      <c r="Y28" s="345" t="str">
        <f>IF($Q28="","",MCAin!$R44*$Q28)</f>
        <v/>
      </c>
      <c r="Z28" s="345" t="str">
        <f>IF($R28="","",MCAin!$R44*$R28)</f>
        <v/>
      </c>
      <c r="AA28" s="347" t="str">
        <f>IF($S28="","",MCAin!$R44*$S28)</f>
        <v/>
      </c>
      <c r="AB28" s="463" t="str">
        <f>IF($N28="","",MCAin!$S44*$N28)</f>
        <v/>
      </c>
      <c r="AC28" s="345" t="str">
        <f>IF($O28="","",MCAin!$S44*$O28)</f>
        <v/>
      </c>
      <c r="AD28" s="345" t="str">
        <f>IF($P28="","",MCAin!$S44*$P28)</f>
        <v/>
      </c>
      <c r="AE28" s="345" t="str">
        <f>IF($Q28="","",MCAin!$R44*$Q28)</f>
        <v/>
      </c>
      <c r="AF28" s="345" t="str">
        <f>IF($R28="","",MCAin!$R44*$R28)</f>
        <v/>
      </c>
      <c r="AG28" s="347" t="str">
        <f>IF($S28="","",MCAin!$S44*$S28)</f>
        <v/>
      </c>
      <c r="AH28" s="463" t="str">
        <f>IF($N28="","",MCAin!$T44*$N28)</f>
        <v/>
      </c>
      <c r="AI28" s="345" t="str">
        <f>IF($O28="","",MCAin!$T44*$O28)</f>
        <v/>
      </c>
      <c r="AJ28" s="345" t="str">
        <f>IF($P28="","",MCAin!$T44*$P28)</f>
        <v/>
      </c>
      <c r="AK28" s="345" t="str">
        <f>IF($Q28="","",MCAin!$T44*$Q28)</f>
        <v/>
      </c>
      <c r="AL28" s="345" t="str">
        <f>IF($R28="","",MCAin!$R44*$R28)</f>
        <v/>
      </c>
      <c r="AM28" s="347" t="str">
        <f>IF($S28="","",MCAin!$S44*$S28)</f>
        <v/>
      </c>
      <c r="AN28" s="463" t="str">
        <f>IF($N28="","",MCAin!$U44*$N28)</f>
        <v/>
      </c>
      <c r="AO28" s="345" t="str">
        <f>IF($O28="","",MCAin!$U44*$O28)</f>
        <v/>
      </c>
      <c r="AP28" s="345" t="str">
        <f>IF($P28="","",MCAin!$U44*$P28)</f>
        <v/>
      </c>
      <c r="AQ28" s="345" t="str">
        <f>IF($Q28="","",MCAin!$U44*$Q28)</f>
        <v/>
      </c>
      <c r="AR28" s="345" t="str">
        <f>IF($R28="","",MCAin!$U44*$R28)</f>
        <v/>
      </c>
      <c r="AS28" s="347" t="str">
        <f>IF($S28="","",MCAin!$U44*$S28)</f>
        <v/>
      </c>
      <c r="AT28" s="463" t="str">
        <f>IF($N28="","",MCAin!$V44*$N28)</f>
        <v/>
      </c>
      <c r="AU28" s="345" t="str">
        <f>IF($O28="","",MCAin!$V44*$O28)</f>
        <v/>
      </c>
      <c r="AV28" s="345" t="str">
        <f>IF($P28="","",MCAin!$V44*$P28)</f>
        <v/>
      </c>
      <c r="AW28" s="345" t="str">
        <f>IF($Q28="","",MCAin!$V44*$Q28)</f>
        <v/>
      </c>
      <c r="AX28" s="345" t="str">
        <f>IF($R28="","",MCAin!$V44*$R28)</f>
        <v/>
      </c>
      <c r="AY28" s="347" t="str">
        <f>IF($S28="","",MCAin!$V44*$S28)</f>
        <v/>
      </c>
      <c r="AZ28" s="463" t="str">
        <f>IF($N28="","",MCAin!$W44*$N28)</f>
        <v/>
      </c>
      <c r="BA28" s="345" t="str">
        <f>IF($O28="","",MCAin!$W44*$O28)</f>
        <v/>
      </c>
      <c r="BB28" s="345" t="str">
        <f>IF($P28="","",MCAin!$W44*$P28)</f>
        <v/>
      </c>
      <c r="BC28" s="345" t="str">
        <f>IF($Q28="","",MCAin!$W44*$Q28)</f>
        <v/>
      </c>
      <c r="BD28" s="345" t="str">
        <f>IF($R28="","",MCAin!$W44*$R28)</f>
        <v/>
      </c>
      <c r="BE28" s="347" t="str">
        <f>IF($S28="","",MCAin!$W44*$S28)</f>
        <v/>
      </c>
      <c r="BF28" s="463" t="str">
        <f>IF($N28="","",MCAin!$X44*$N28)</f>
        <v/>
      </c>
      <c r="BG28" s="345" t="str">
        <f>IF($O28="","",MCAin!$X44*$O28)</f>
        <v/>
      </c>
      <c r="BH28" s="345" t="str">
        <f>IF($P28="","",MCAin!$X44*$P28)</f>
        <v/>
      </c>
      <c r="BI28" s="345" t="str">
        <f>IF($Q28="","",MCAin!$X44*$Q28)</f>
        <v/>
      </c>
      <c r="BJ28" s="345" t="str">
        <f>IF($R28="","",MCAin!$X44*$R28)</f>
        <v/>
      </c>
      <c r="BK28" s="347" t="str">
        <f>IF($S28="","",MCAin!$X44*$S28)</f>
        <v/>
      </c>
      <c r="BL28" s="463" t="str">
        <f>IF($N28="","",MCAin!$Y44*$N28)</f>
        <v/>
      </c>
      <c r="BM28" s="345" t="str">
        <f>IF($O28="","",MCAin!$Y44*$O28)</f>
        <v/>
      </c>
      <c r="BN28" s="345" t="str">
        <f>IF($P28="","",MCAin!$Y44*$P28)</f>
        <v/>
      </c>
      <c r="BO28" s="345" t="str">
        <f>IF($Q28="","",MCAin!$Y44*$Q28)</f>
        <v/>
      </c>
      <c r="BP28" s="345" t="str">
        <f>IF($R28="","",MCAin!$Y44*$R28)</f>
        <v/>
      </c>
      <c r="BQ28" s="347" t="str">
        <f>IF($S28="","",MCAin!$Y44*$S28)</f>
        <v/>
      </c>
      <c r="BR28" s="315"/>
      <c r="BS28" s="315"/>
      <c r="BT28" s="315"/>
      <c r="BU28" s="315"/>
      <c r="BV28" s="315"/>
      <c r="BW28" s="315"/>
      <c r="BX28" s="315"/>
      <c r="BY28" s="315"/>
      <c r="BZ28" s="315"/>
    </row>
    <row r="29" spans="1:78" ht="15" customHeight="1">
      <c r="A29" s="314"/>
      <c r="B29" s="110" t="s">
        <v>296</v>
      </c>
      <c r="C29" s="316"/>
      <c r="D29" s="319"/>
      <c r="E29" s="319"/>
      <c r="F29" s="319"/>
      <c r="G29" s="319"/>
      <c r="H29" s="319"/>
      <c r="I29" s="319"/>
      <c r="J29" s="484">
        <f>IF(MCAin!O45="","",MCAin!O45)</f>
        <v>60</v>
      </c>
      <c r="K29" s="484">
        <f>IF(MCAin!P45="","",MCAin!P45)</f>
        <v>1</v>
      </c>
      <c r="L29" s="314"/>
      <c r="M29" s="534" t="str">
        <f>IF(AND(COUNTIF(D29:I29,"&gt;=0")=$D$1,J29&gt;=0,K29&gt;=0,MCAin!$Q45=""),1,"")</f>
        <v/>
      </c>
      <c r="N29" s="343" t="str">
        <f t="shared" si="3"/>
        <v/>
      </c>
      <c r="O29" s="343" t="str">
        <f t="shared" si="3"/>
        <v/>
      </c>
      <c r="P29" s="343" t="str">
        <f t="shared" si="3"/>
        <v/>
      </c>
      <c r="Q29" s="343" t="str">
        <f t="shared" si="3"/>
        <v/>
      </c>
      <c r="R29" s="343" t="str">
        <f t="shared" si="3"/>
        <v/>
      </c>
      <c r="S29" s="343" t="str">
        <f t="shared" si="3"/>
        <v/>
      </c>
      <c r="T29" s="343"/>
      <c r="U29" s="344"/>
      <c r="V29" s="463" t="str">
        <f>IF($N29="","",MCAin!$R45*$N29)</f>
        <v/>
      </c>
      <c r="W29" s="345" t="str">
        <f>IF($O29="","",MCAin!$R45*$O29)</f>
        <v/>
      </c>
      <c r="X29" s="345" t="str">
        <f>IF($P29="","",MCAin!$R45*$P29)</f>
        <v/>
      </c>
      <c r="Y29" s="345" t="str">
        <f>IF($Q29="","",MCAin!$R45*$Q29)</f>
        <v/>
      </c>
      <c r="Z29" s="345" t="str">
        <f>IF($R29="","",MCAin!$R45*$R29)</f>
        <v/>
      </c>
      <c r="AA29" s="347" t="str">
        <f>IF($S29="","",MCAin!$R45*$S29)</f>
        <v/>
      </c>
      <c r="AB29" s="463" t="str">
        <f>IF($N29="","",MCAin!$S45*$N29)</f>
        <v/>
      </c>
      <c r="AC29" s="345" t="str">
        <f>IF($O29="","",MCAin!$S45*$O29)</f>
        <v/>
      </c>
      <c r="AD29" s="345" t="str">
        <f>IF($P29="","",MCAin!$S45*$P29)</f>
        <v/>
      </c>
      <c r="AE29" s="345" t="str">
        <f>IF($Q29="","",MCAin!$R45*$Q29)</f>
        <v/>
      </c>
      <c r="AF29" s="345" t="str">
        <f>IF($R29="","",MCAin!$R45*$R29)</f>
        <v/>
      </c>
      <c r="AG29" s="347" t="str">
        <f>IF($S29="","",MCAin!$S45*$S29)</f>
        <v/>
      </c>
      <c r="AH29" s="463" t="str">
        <f>IF($N29="","",MCAin!$T45*$N29)</f>
        <v/>
      </c>
      <c r="AI29" s="345" t="str">
        <f>IF($O29="","",MCAin!$T45*$O29)</f>
        <v/>
      </c>
      <c r="AJ29" s="345" t="str">
        <f>IF($P29="","",MCAin!$T45*$P29)</f>
        <v/>
      </c>
      <c r="AK29" s="345" t="str">
        <f>IF($Q29="","",MCAin!$T45*$Q29)</f>
        <v/>
      </c>
      <c r="AL29" s="345" t="str">
        <f>IF($R29="","",MCAin!$R45*$R29)</f>
        <v/>
      </c>
      <c r="AM29" s="347" t="str">
        <f>IF($S29="","",MCAin!$S45*$S29)</f>
        <v/>
      </c>
      <c r="AN29" s="463" t="str">
        <f>IF($N29="","",MCAin!$U45*$N29)</f>
        <v/>
      </c>
      <c r="AO29" s="345" t="str">
        <f>IF($O29="","",MCAin!$U45*$O29)</f>
        <v/>
      </c>
      <c r="AP29" s="345" t="str">
        <f>IF($P29="","",MCAin!$U45*$P29)</f>
        <v/>
      </c>
      <c r="AQ29" s="345" t="str">
        <f>IF($Q29="","",MCAin!$U45*$Q29)</f>
        <v/>
      </c>
      <c r="AR29" s="345" t="str">
        <f>IF($R29="","",MCAin!$U45*$R29)</f>
        <v/>
      </c>
      <c r="AS29" s="347" t="str">
        <f>IF($S29="","",MCAin!$U45*$S29)</f>
        <v/>
      </c>
      <c r="AT29" s="463" t="str">
        <f>IF($N29="","",MCAin!$V45*$N29)</f>
        <v/>
      </c>
      <c r="AU29" s="345" t="str">
        <f>IF($O29="","",MCAin!$V45*$O29)</f>
        <v/>
      </c>
      <c r="AV29" s="345" t="str">
        <f>IF($P29="","",MCAin!$V45*$P29)</f>
        <v/>
      </c>
      <c r="AW29" s="345" t="str">
        <f>IF($Q29="","",MCAin!$V45*$Q29)</f>
        <v/>
      </c>
      <c r="AX29" s="345" t="str">
        <f>IF($R29="","",MCAin!$V45*$R29)</f>
        <v/>
      </c>
      <c r="AY29" s="347" t="str">
        <f>IF($S29="","",MCAin!$V45*$S29)</f>
        <v/>
      </c>
      <c r="AZ29" s="463" t="str">
        <f>IF($N29="","",MCAin!$W45*$N29)</f>
        <v/>
      </c>
      <c r="BA29" s="345" t="str">
        <f>IF($O29="","",MCAin!$W45*$O29)</f>
        <v/>
      </c>
      <c r="BB29" s="345" t="str">
        <f>IF($P29="","",MCAin!$W45*$P29)</f>
        <v/>
      </c>
      <c r="BC29" s="345" t="str">
        <f>IF($Q29="","",MCAin!$W45*$Q29)</f>
        <v/>
      </c>
      <c r="BD29" s="345" t="str">
        <f>IF($R29="","",MCAin!$W45*$R29)</f>
        <v/>
      </c>
      <c r="BE29" s="347" t="str">
        <f>IF($S29="","",MCAin!$W45*$S29)</f>
        <v/>
      </c>
      <c r="BF29" s="463" t="str">
        <f>IF($N29="","",MCAin!$X45*$N29)</f>
        <v/>
      </c>
      <c r="BG29" s="345" t="str">
        <f>IF($O29="","",MCAin!$X45*$O29)</f>
        <v/>
      </c>
      <c r="BH29" s="345" t="str">
        <f>IF($P29="","",MCAin!$X45*$P29)</f>
        <v/>
      </c>
      <c r="BI29" s="345" t="str">
        <f>IF($Q29="","",MCAin!$X45*$Q29)</f>
        <v/>
      </c>
      <c r="BJ29" s="345" t="str">
        <f>IF($R29="","",MCAin!$X45*$R29)</f>
        <v/>
      </c>
      <c r="BK29" s="347" t="str">
        <f>IF($S29="","",MCAin!$X45*$S29)</f>
        <v/>
      </c>
      <c r="BL29" s="463" t="str">
        <f>IF($N29="","",MCAin!$Y45*$N29)</f>
        <v/>
      </c>
      <c r="BM29" s="345" t="str">
        <f>IF($O29="","",MCAin!$Y45*$O29)</f>
        <v/>
      </c>
      <c r="BN29" s="345" t="str">
        <f>IF($P29="","",MCAin!$Y45*$P29)</f>
        <v/>
      </c>
      <c r="BO29" s="345" t="str">
        <f>IF($Q29="","",MCAin!$Y45*$Q29)</f>
        <v/>
      </c>
      <c r="BP29" s="345" t="str">
        <f>IF($R29="","",MCAin!$Y45*$R29)</f>
        <v/>
      </c>
      <c r="BQ29" s="347" t="str">
        <f>IF($S29="","",MCAin!$Y45*$S29)</f>
        <v/>
      </c>
      <c r="BR29" s="315"/>
      <c r="BS29" s="315"/>
      <c r="BT29" s="315"/>
      <c r="BU29" s="315"/>
      <c r="BV29" s="315"/>
      <c r="BW29" s="315"/>
      <c r="BX29" s="315"/>
      <c r="BY29" s="315"/>
      <c r="BZ29" s="315"/>
    </row>
    <row r="30" spans="1:78" ht="15" customHeight="1">
      <c r="A30" s="314"/>
      <c r="B30" s="110" t="str">
        <f>PTAout!D66</f>
        <v>Delays</v>
      </c>
      <c r="C30" s="316"/>
      <c r="D30" s="234" t="str">
        <f>PTAout!H66</f>
        <v/>
      </c>
      <c r="E30" s="234" t="str">
        <f>PTAout!L66</f>
        <v/>
      </c>
      <c r="F30" s="234" t="str">
        <f>PTAout!Q66</f>
        <v/>
      </c>
      <c r="G30" s="234" t="str">
        <f>PTAout!V66</f>
        <v/>
      </c>
      <c r="H30" s="234" t="str">
        <f>PTAout!AA66</f>
        <v/>
      </c>
      <c r="I30" s="234" t="str">
        <f>PTAout!AF66</f>
        <v/>
      </c>
      <c r="J30" s="484">
        <f>IF(MCAin!O46="","",MCAin!O46)</f>
        <v>1.5</v>
      </c>
      <c r="K30" s="484">
        <f>IF(MCAin!P46="","",MCAin!P46)</f>
        <v>0</v>
      </c>
      <c r="L30" s="314"/>
      <c r="M30" s="534" t="str">
        <f>IF(AND(COUNTIF(D30:I30,"&gt;=0")=$D$1,J30&gt;=0,K30&gt;=0,MCAin!$Q46=""),1,"")</f>
        <v/>
      </c>
      <c r="N30" s="343" t="str">
        <f t="shared" si="3"/>
        <v/>
      </c>
      <c r="O30" s="343" t="str">
        <f t="shared" si="3"/>
        <v/>
      </c>
      <c r="P30" s="343" t="str">
        <f t="shared" si="3"/>
        <v/>
      </c>
      <c r="Q30" s="343" t="str">
        <f t="shared" si="3"/>
        <v/>
      </c>
      <c r="R30" s="343" t="str">
        <f t="shared" si="3"/>
        <v/>
      </c>
      <c r="S30" s="343" t="str">
        <f t="shared" si="3"/>
        <v/>
      </c>
      <c r="T30" s="343"/>
      <c r="U30" s="344"/>
      <c r="V30" s="463" t="str">
        <f>IF($N30="","",MCAin!$R46*$N30)</f>
        <v/>
      </c>
      <c r="W30" s="345" t="str">
        <f>IF($O30="","",MCAin!$R46*$O30)</f>
        <v/>
      </c>
      <c r="X30" s="345" t="str">
        <f>IF($P30="","",MCAin!$R46*$P30)</f>
        <v/>
      </c>
      <c r="Y30" s="345" t="str">
        <f>IF($Q30="","",MCAin!$R46*$Q30)</f>
        <v/>
      </c>
      <c r="Z30" s="345" t="str">
        <f>IF($R30="","",MCAin!$R46*$R30)</f>
        <v/>
      </c>
      <c r="AA30" s="347" t="str">
        <f>IF($S30="","",MCAin!$R46*$S30)</f>
        <v/>
      </c>
      <c r="AB30" s="463" t="str">
        <f>IF($N30="","",MCAin!$S46*$N30)</f>
        <v/>
      </c>
      <c r="AC30" s="345" t="str">
        <f>IF($O30="","",MCAin!$S46*$O30)</f>
        <v/>
      </c>
      <c r="AD30" s="345" t="str">
        <f>IF($P30="","",MCAin!$S46*$P30)</f>
        <v/>
      </c>
      <c r="AE30" s="345" t="str">
        <f>IF($Q30="","",MCAin!$R46*$Q30)</f>
        <v/>
      </c>
      <c r="AF30" s="345" t="str">
        <f>IF($R30="","",MCAin!$R46*$R30)</f>
        <v/>
      </c>
      <c r="AG30" s="347" t="str">
        <f>IF($S30="","",MCAin!$S46*$S30)</f>
        <v/>
      </c>
      <c r="AH30" s="463" t="str">
        <f>IF($N30="","",MCAin!$T46*$N30)</f>
        <v/>
      </c>
      <c r="AI30" s="345" t="str">
        <f>IF($O30="","",MCAin!$T46*$O30)</f>
        <v/>
      </c>
      <c r="AJ30" s="345" t="str">
        <f>IF($P30="","",MCAin!$T46*$P30)</f>
        <v/>
      </c>
      <c r="AK30" s="345" t="str">
        <f>IF($Q30="","",MCAin!$T46*$Q30)</f>
        <v/>
      </c>
      <c r="AL30" s="345" t="str">
        <f>IF($R30="","",MCAin!$R46*$R30)</f>
        <v/>
      </c>
      <c r="AM30" s="347" t="str">
        <f>IF($S30="","",MCAin!$S46*$S30)</f>
        <v/>
      </c>
      <c r="AN30" s="463" t="str">
        <f>IF($N30="","",MCAin!$U46*$N30)</f>
        <v/>
      </c>
      <c r="AO30" s="345" t="str">
        <f>IF($O30="","",MCAin!$U46*$O30)</f>
        <v/>
      </c>
      <c r="AP30" s="345" t="str">
        <f>IF($P30="","",MCAin!$U46*$P30)</f>
        <v/>
      </c>
      <c r="AQ30" s="345" t="str">
        <f>IF($Q30="","",MCAin!$U46*$Q30)</f>
        <v/>
      </c>
      <c r="AR30" s="345" t="str">
        <f>IF($R30="","",MCAin!$U46*$R30)</f>
        <v/>
      </c>
      <c r="AS30" s="347" t="str">
        <f>IF($S30="","",MCAin!$U46*$S30)</f>
        <v/>
      </c>
      <c r="AT30" s="463" t="str">
        <f>IF($N30="","",MCAin!$V46*$N30)</f>
        <v/>
      </c>
      <c r="AU30" s="345" t="str">
        <f>IF($O30="","",MCAin!$V46*$O30)</f>
        <v/>
      </c>
      <c r="AV30" s="345" t="str">
        <f>IF($P30="","",MCAin!$V46*$P30)</f>
        <v/>
      </c>
      <c r="AW30" s="345" t="str">
        <f>IF($Q30="","",MCAin!$V46*$Q30)</f>
        <v/>
      </c>
      <c r="AX30" s="345" t="str">
        <f>IF($R30="","",MCAin!$V46*$R30)</f>
        <v/>
      </c>
      <c r="AY30" s="347" t="str">
        <f>IF($S30="","",MCAin!$V46*$S30)</f>
        <v/>
      </c>
      <c r="AZ30" s="463" t="str">
        <f>IF($N30="","",MCAin!$W46*$N30)</f>
        <v/>
      </c>
      <c r="BA30" s="345" t="str">
        <f>IF($O30="","",MCAin!$W46*$O30)</f>
        <v/>
      </c>
      <c r="BB30" s="345" t="str">
        <f>IF($P30="","",MCAin!$W46*$P30)</f>
        <v/>
      </c>
      <c r="BC30" s="345" t="str">
        <f>IF($Q30="","",MCAin!$W46*$Q30)</f>
        <v/>
      </c>
      <c r="BD30" s="345" t="str">
        <f>IF($R30="","",MCAin!$W46*$R30)</f>
        <v/>
      </c>
      <c r="BE30" s="347" t="str">
        <f>IF($S30="","",MCAin!$W46*$S30)</f>
        <v/>
      </c>
      <c r="BF30" s="463" t="str">
        <f>IF($N30="","",MCAin!$X46*$N30)</f>
        <v/>
      </c>
      <c r="BG30" s="345" t="str">
        <f>IF($O30="","",MCAin!$X46*$O30)</f>
        <v/>
      </c>
      <c r="BH30" s="345" t="str">
        <f>IF($P30="","",MCAin!$X46*$P30)</f>
        <v/>
      </c>
      <c r="BI30" s="345" t="str">
        <f>IF($Q30="","",MCAin!$X46*$Q30)</f>
        <v/>
      </c>
      <c r="BJ30" s="345" t="str">
        <f>IF($R30="","",MCAin!$X46*$R30)</f>
        <v/>
      </c>
      <c r="BK30" s="347" t="str">
        <f>IF($S30="","",MCAin!$X46*$S30)</f>
        <v/>
      </c>
      <c r="BL30" s="463" t="str">
        <f>IF($N30="","",MCAin!$Y46*$N30)</f>
        <v/>
      </c>
      <c r="BM30" s="345" t="str">
        <f>IF($O30="","",MCAin!$Y46*$O30)</f>
        <v/>
      </c>
      <c r="BN30" s="345" t="str">
        <f>IF($P30="","",MCAin!$Y46*$P30)</f>
        <v/>
      </c>
      <c r="BO30" s="345" t="str">
        <f>IF($Q30="","",MCAin!$Y46*$Q30)</f>
        <v/>
      </c>
      <c r="BP30" s="345" t="str">
        <f>IF($R30="","",MCAin!$Y46*$R30)</f>
        <v/>
      </c>
      <c r="BQ30" s="347" t="str">
        <f>IF($S30="","",MCAin!$Y46*$S30)</f>
        <v/>
      </c>
      <c r="BR30" s="315"/>
      <c r="BS30" s="315"/>
      <c r="BT30" s="315"/>
      <c r="BU30" s="315"/>
      <c r="BV30" s="315"/>
      <c r="BW30" s="315"/>
      <c r="BX30" s="315"/>
      <c r="BY30" s="315"/>
      <c r="BZ30" s="315"/>
    </row>
    <row r="31" spans="1:78" ht="15" customHeight="1">
      <c r="A31" s="314"/>
      <c r="B31" s="110" t="str">
        <f>PTAout!D67</f>
        <v>Reliability</v>
      </c>
      <c r="C31" s="316"/>
      <c r="D31" s="234" t="str">
        <f>PTAout!H67</f>
        <v/>
      </c>
      <c r="E31" s="234" t="str">
        <f>PTAout!L67</f>
        <v/>
      </c>
      <c r="F31" s="234" t="str">
        <f>PTAout!Q67</f>
        <v/>
      </c>
      <c r="G31" s="234" t="str">
        <f>PTAout!V67</f>
        <v/>
      </c>
      <c r="H31" s="234" t="str">
        <f>PTAout!AA67</f>
        <v/>
      </c>
      <c r="I31" s="234" t="str">
        <f>PTAout!AF67</f>
        <v/>
      </c>
      <c r="J31" s="484" t="str">
        <f>IF(MCAin!O47="","",MCAin!O47)</f>
        <v/>
      </c>
      <c r="K31" s="484" t="str">
        <f>IF(MCAin!P47="","",MCAin!P47)</f>
        <v/>
      </c>
      <c r="L31" s="314"/>
      <c r="M31" s="534" t="str">
        <f>IF(AND(COUNTIF(D31:I31,"&gt;=0")=$D$1,J31&gt;=0,K31&gt;=0,MCAin!$Q47=""),1,"")</f>
        <v/>
      </c>
      <c r="N31" s="343" t="str">
        <f t="shared" si="3"/>
        <v/>
      </c>
      <c r="O31" s="343" t="str">
        <f t="shared" si="3"/>
        <v/>
      </c>
      <c r="P31" s="343" t="str">
        <f t="shared" si="3"/>
        <v/>
      </c>
      <c r="Q31" s="343" t="str">
        <f t="shared" si="3"/>
        <v/>
      </c>
      <c r="R31" s="343" t="str">
        <f t="shared" si="3"/>
        <v/>
      </c>
      <c r="S31" s="343" t="str">
        <f t="shared" si="3"/>
        <v/>
      </c>
      <c r="T31" s="343"/>
      <c r="U31" s="344"/>
      <c r="V31" s="463" t="str">
        <f>IF($N31="","",MCAin!$R47*$N31)</f>
        <v/>
      </c>
      <c r="W31" s="345" t="str">
        <f>IF($O31="","",MCAin!$R47*$O31)</f>
        <v/>
      </c>
      <c r="X31" s="345" t="str">
        <f>IF($P31="","",MCAin!$R47*$P31)</f>
        <v/>
      </c>
      <c r="Y31" s="345" t="str">
        <f>IF($Q31="","",MCAin!$R47*$Q31)</f>
        <v/>
      </c>
      <c r="Z31" s="345" t="str">
        <f>IF($R31="","",MCAin!$R47*$R31)</f>
        <v/>
      </c>
      <c r="AA31" s="347" t="str">
        <f>IF($S31="","",MCAin!$R47*$S31)</f>
        <v/>
      </c>
      <c r="AB31" s="463" t="str">
        <f>IF($N31="","",MCAin!$S47*$N31)</f>
        <v/>
      </c>
      <c r="AC31" s="345" t="str">
        <f>IF($O31="","",MCAin!$S47*$O31)</f>
        <v/>
      </c>
      <c r="AD31" s="345" t="str">
        <f>IF($P31="","",MCAin!$S47*$P31)</f>
        <v/>
      </c>
      <c r="AE31" s="345" t="str">
        <f>IF($Q31="","",MCAin!$R47*$Q31)</f>
        <v/>
      </c>
      <c r="AF31" s="345" t="str">
        <f>IF($R31="","",MCAin!$R47*$R31)</f>
        <v/>
      </c>
      <c r="AG31" s="347" t="str">
        <f>IF($S31="","",MCAin!$S47*$S31)</f>
        <v/>
      </c>
      <c r="AH31" s="463" t="str">
        <f>IF($N31="","",MCAin!$T47*$N31)</f>
        <v/>
      </c>
      <c r="AI31" s="345" t="str">
        <f>IF($O31="","",MCAin!$T47*$O31)</f>
        <v/>
      </c>
      <c r="AJ31" s="345" t="str">
        <f>IF($P31="","",MCAin!$T47*$P31)</f>
        <v/>
      </c>
      <c r="AK31" s="345" t="str">
        <f>IF($Q31="","",MCAin!$T47*$Q31)</f>
        <v/>
      </c>
      <c r="AL31" s="345" t="str">
        <f>IF($R31="","",MCAin!$R47*$R31)</f>
        <v/>
      </c>
      <c r="AM31" s="347" t="str">
        <f>IF($S31="","",MCAin!$S47*$S31)</f>
        <v/>
      </c>
      <c r="AN31" s="463" t="str">
        <f>IF($N31="","",MCAin!$U47*$N31)</f>
        <v/>
      </c>
      <c r="AO31" s="345" t="str">
        <f>IF($O31="","",MCAin!$U47*$O31)</f>
        <v/>
      </c>
      <c r="AP31" s="345" t="str">
        <f>IF($P31="","",MCAin!$U47*$P31)</f>
        <v/>
      </c>
      <c r="AQ31" s="345" t="str">
        <f>IF($Q31="","",MCAin!$U47*$Q31)</f>
        <v/>
      </c>
      <c r="AR31" s="345" t="str">
        <f>IF($R31="","",MCAin!$U47*$R31)</f>
        <v/>
      </c>
      <c r="AS31" s="347" t="str">
        <f>IF($S31="","",MCAin!$U47*$S31)</f>
        <v/>
      </c>
      <c r="AT31" s="463" t="str">
        <f>IF($N31="","",MCAin!$V47*$N31)</f>
        <v/>
      </c>
      <c r="AU31" s="345" t="str">
        <f>IF($O31="","",MCAin!$V47*$O31)</f>
        <v/>
      </c>
      <c r="AV31" s="345" t="str">
        <f>IF($P31="","",MCAin!$V47*$P31)</f>
        <v/>
      </c>
      <c r="AW31" s="345" t="str">
        <f>IF($Q31="","",MCAin!$V47*$Q31)</f>
        <v/>
      </c>
      <c r="AX31" s="345" t="str">
        <f>IF($R31="","",MCAin!$V47*$R31)</f>
        <v/>
      </c>
      <c r="AY31" s="347" t="str">
        <f>IF($S31="","",MCAin!$V47*$S31)</f>
        <v/>
      </c>
      <c r="AZ31" s="463" t="str">
        <f>IF($N31="","",MCAin!$W47*$N31)</f>
        <v/>
      </c>
      <c r="BA31" s="345" t="str">
        <f>IF($O31="","",MCAin!$W47*$O31)</f>
        <v/>
      </c>
      <c r="BB31" s="345" t="str">
        <f>IF($P31="","",MCAin!$W47*$P31)</f>
        <v/>
      </c>
      <c r="BC31" s="345" t="str">
        <f>IF($Q31="","",MCAin!$W47*$Q31)</f>
        <v/>
      </c>
      <c r="BD31" s="345" t="str">
        <f>IF($R31="","",MCAin!$W47*$R31)</f>
        <v/>
      </c>
      <c r="BE31" s="347" t="str">
        <f>IF($S31="","",MCAin!$W47*$S31)</f>
        <v/>
      </c>
      <c r="BF31" s="463" t="str">
        <f>IF($N31="","",MCAin!$X47*$N31)</f>
        <v/>
      </c>
      <c r="BG31" s="345" t="str">
        <f>IF($O31="","",MCAin!$X47*$O31)</f>
        <v/>
      </c>
      <c r="BH31" s="345" t="str">
        <f>IF($P31="","",MCAin!$X47*$P31)</f>
        <v/>
      </c>
      <c r="BI31" s="345" t="str">
        <f>IF($Q31="","",MCAin!$X47*$Q31)</f>
        <v/>
      </c>
      <c r="BJ31" s="345" t="str">
        <f>IF($R31="","",MCAin!$X47*$R31)</f>
        <v/>
      </c>
      <c r="BK31" s="347" t="str">
        <f>IF($S31="","",MCAin!$X47*$S31)</f>
        <v/>
      </c>
      <c r="BL31" s="463" t="str">
        <f>IF($N31="","",MCAin!$Y47*$N31)</f>
        <v/>
      </c>
      <c r="BM31" s="345" t="str">
        <f>IF($O31="","",MCAin!$Y47*$O31)</f>
        <v/>
      </c>
      <c r="BN31" s="345" t="str">
        <f>IF($P31="","",MCAin!$Y47*$P31)</f>
        <v/>
      </c>
      <c r="BO31" s="345" t="str">
        <f>IF($Q31="","",MCAin!$Y47*$Q31)</f>
        <v/>
      </c>
      <c r="BP31" s="345" t="str">
        <f>IF($R31="","",MCAin!$Y47*$R31)</f>
        <v/>
      </c>
      <c r="BQ31" s="347" t="str">
        <f>IF($S31="","",MCAin!$Y47*$S31)</f>
        <v/>
      </c>
      <c r="BR31" s="315"/>
      <c r="BS31" s="315"/>
      <c r="BT31" s="315"/>
      <c r="BU31" s="315"/>
      <c r="BV31" s="315"/>
      <c r="BW31" s="315"/>
      <c r="BX31" s="315"/>
      <c r="BY31" s="315"/>
      <c r="BZ31" s="315"/>
    </row>
    <row r="32" spans="1:78" ht="15" customHeight="1">
      <c r="A32" s="320"/>
      <c r="B32" s="118" t="str">
        <f>PTAout!D68</f>
        <v>Trip quality</v>
      </c>
      <c r="C32" s="321"/>
      <c r="D32" s="323" t="str">
        <f>PTAout!H68</f>
        <v/>
      </c>
      <c r="E32" s="323" t="str">
        <f>PTAout!L68</f>
        <v/>
      </c>
      <c r="F32" s="323" t="str">
        <f>PTAout!Q68</f>
        <v/>
      </c>
      <c r="G32" s="323" t="str">
        <f>PTAout!V68</f>
        <v/>
      </c>
      <c r="H32" s="323" t="str">
        <f>PTAout!AA68</f>
        <v/>
      </c>
      <c r="I32" s="323" t="str">
        <f>PTAout!AF68</f>
        <v/>
      </c>
      <c r="J32" s="489">
        <f>IF(MCAin!O48="","",MCAin!O48)</f>
        <v>0</v>
      </c>
      <c r="K32" s="489">
        <f>IF(MCAin!P48="","",MCAin!P48)</f>
        <v>100</v>
      </c>
      <c r="L32" s="314"/>
      <c r="M32" s="534" t="str">
        <f>IF(AND(COUNTIF(D32:I32,"&gt;=0")=$D$1,J32&gt;=0,K32&gt;=0,MCAin!$Q48=""),1,"")</f>
        <v/>
      </c>
      <c r="N32" s="492" t="str">
        <f t="shared" si="3"/>
        <v/>
      </c>
      <c r="O32" s="492" t="str">
        <f t="shared" si="3"/>
        <v/>
      </c>
      <c r="P32" s="492" t="str">
        <f t="shared" si="3"/>
        <v/>
      </c>
      <c r="Q32" s="492" t="str">
        <f t="shared" si="3"/>
        <v/>
      </c>
      <c r="R32" s="492" t="str">
        <f t="shared" si="3"/>
        <v/>
      </c>
      <c r="S32" s="492" t="str">
        <f t="shared" si="3"/>
        <v/>
      </c>
      <c r="T32" s="343"/>
      <c r="U32" s="344"/>
      <c r="V32" s="495" t="str">
        <f>IF($N32="","",MCAin!$R48*$N32)</f>
        <v/>
      </c>
      <c r="W32" s="496" t="str">
        <f>IF($O32="","",MCAin!$R48*$O32)</f>
        <v/>
      </c>
      <c r="X32" s="496" t="str">
        <f>IF($P32="","",MCAin!$R48*$P32)</f>
        <v/>
      </c>
      <c r="Y32" s="496" t="str">
        <f>IF($Q32="","",MCAin!$R48*$Q32)</f>
        <v/>
      </c>
      <c r="Z32" s="496" t="str">
        <f>IF($R32="","",MCAin!$R48*$R32)</f>
        <v/>
      </c>
      <c r="AA32" s="497" t="str">
        <f>IF($S32="","",MCAin!$R48*$S32)</f>
        <v/>
      </c>
      <c r="AB32" s="495" t="str">
        <f>IF($N32="","",MCAin!$S48*$N32)</f>
        <v/>
      </c>
      <c r="AC32" s="496" t="str">
        <f>IF($O32="","",MCAin!$S48*$O32)</f>
        <v/>
      </c>
      <c r="AD32" s="496" t="str">
        <f>IF($P32="","",MCAin!$S48*$P32)</f>
        <v/>
      </c>
      <c r="AE32" s="496" t="str">
        <f>IF($Q32="","",MCAin!$R48*$Q32)</f>
        <v/>
      </c>
      <c r="AF32" s="496" t="str">
        <f>IF($R32="","",MCAin!$R48*$R32)</f>
        <v/>
      </c>
      <c r="AG32" s="497" t="str">
        <f>IF($S32="","",MCAin!$S48*$S32)</f>
        <v/>
      </c>
      <c r="AH32" s="495" t="str">
        <f>IF($N32="","",MCAin!$T48*$N32)</f>
        <v/>
      </c>
      <c r="AI32" s="496" t="str">
        <f>IF($O32="","",MCAin!$T48*$O32)</f>
        <v/>
      </c>
      <c r="AJ32" s="496" t="str">
        <f>IF($P32="","",MCAin!$T48*$P32)</f>
        <v/>
      </c>
      <c r="AK32" s="496" t="str">
        <f>IF($Q32="","",MCAin!$T48*$Q32)</f>
        <v/>
      </c>
      <c r="AL32" s="496" t="str">
        <f>IF($R32="","",MCAin!$R48*$R32)</f>
        <v/>
      </c>
      <c r="AM32" s="497" t="str">
        <f>IF($S32="","",MCAin!$S48*$S32)</f>
        <v/>
      </c>
      <c r="AN32" s="495" t="str">
        <f>IF($N32="","",MCAin!$U48*$N32)</f>
        <v/>
      </c>
      <c r="AO32" s="496" t="str">
        <f>IF($O32="","",MCAin!$U48*$O32)</f>
        <v/>
      </c>
      <c r="AP32" s="496" t="str">
        <f>IF($P32="","",MCAin!$U48*$P32)</f>
        <v/>
      </c>
      <c r="AQ32" s="496" t="str">
        <f>IF($Q32="","",MCAin!$U48*$Q32)</f>
        <v/>
      </c>
      <c r="AR32" s="496" t="str">
        <f>IF($R32="","",MCAin!$U48*$R32)</f>
        <v/>
      </c>
      <c r="AS32" s="497" t="str">
        <f>IF($S32="","",MCAin!$U48*$S32)</f>
        <v/>
      </c>
      <c r="AT32" s="495" t="str">
        <f>IF($N32="","",MCAin!$V48*$N32)</f>
        <v/>
      </c>
      <c r="AU32" s="496" t="str">
        <f>IF($O32="","",MCAin!$V48*$O32)</f>
        <v/>
      </c>
      <c r="AV32" s="496" t="str">
        <f>IF($P32="","",MCAin!$V48*$P32)</f>
        <v/>
      </c>
      <c r="AW32" s="496" t="str">
        <f>IF($Q32="","",MCAin!$V48*$Q32)</f>
        <v/>
      </c>
      <c r="AX32" s="496" t="str">
        <f>IF($R32="","",MCAin!$V48*$R32)</f>
        <v/>
      </c>
      <c r="AY32" s="497" t="str">
        <f>IF($S32="","",MCAin!$V48*$S32)</f>
        <v/>
      </c>
      <c r="AZ32" s="495" t="str">
        <f>IF($N32="","",MCAin!$W48*$N32)</f>
        <v/>
      </c>
      <c r="BA32" s="496" t="str">
        <f>IF($O32="","",MCAin!$W48*$O32)</f>
        <v/>
      </c>
      <c r="BB32" s="496" t="str">
        <f>IF($P32="","",MCAin!$W48*$P32)</f>
        <v/>
      </c>
      <c r="BC32" s="496" t="str">
        <f>IF($Q32="","",MCAin!$W48*$Q32)</f>
        <v/>
      </c>
      <c r="BD32" s="496" t="str">
        <f>IF($R32="","",MCAin!$W48*$R32)</f>
        <v/>
      </c>
      <c r="BE32" s="497" t="str">
        <f>IF($S32="","",MCAin!$W48*$S32)</f>
        <v/>
      </c>
      <c r="BF32" s="495" t="str">
        <f>IF($N32="","",MCAin!$X48*$N32)</f>
        <v/>
      </c>
      <c r="BG32" s="496" t="str">
        <f>IF($O32="","",MCAin!$X48*$O32)</f>
        <v/>
      </c>
      <c r="BH32" s="496" t="str">
        <f>IF($P32="","",MCAin!$X48*$P32)</f>
        <v/>
      </c>
      <c r="BI32" s="496" t="str">
        <f>IF($Q32="","",MCAin!$X48*$Q32)</f>
        <v/>
      </c>
      <c r="BJ32" s="496" t="str">
        <f>IF($R32="","",MCAin!$X48*$R32)</f>
        <v/>
      </c>
      <c r="BK32" s="497" t="str">
        <f>IF($S32="","",MCAin!$X48*$S32)</f>
        <v/>
      </c>
      <c r="BL32" s="495" t="str">
        <f>IF($N32="","",MCAin!$Y48*$N32)</f>
        <v/>
      </c>
      <c r="BM32" s="496" t="str">
        <f>IF($O32="","",MCAin!$Y48*$O32)</f>
        <v/>
      </c>
      <c r="BN32" s="496" t="str">
        <f>IF($P32="","",MCAin!$Y48*$P32)</f>
        <v/>
      </c>
      <c r="BO32" s="496" t="str">
        <f>IF($Q32="","",MCAin!$Y48*$Q32)</f>
        <v/>
      </c>
      <c r="BP32" s="496" t="str">
        <f>IF($R32="","",MCAin!$Y48*$R32)</f>
        <v/>
      </c>
      <c r="BQ32" s="497" t="str">
        <f>IF($S32="","",MCAin!$Y48*$S32)</f>
        <v/>
      </c>
      <c r="BR32" s="315"/>
      <c r="BS32" s="315"/>
      <c r="BT32" s="315"/>
      <c r="BU32" s="315"/>
      <c r="BV32" s="315"/>
      <c r="BW32" s="315"/>
      <c r="BX32" s="315"/>
      <c r="BY32" s="315"/>
      <c r="BZ32" s="315"/>
    </row>
    <row r="33" spans="1:78" ht="15" customHeight="1">
      <c r="A33" s="498" t="str">
        <f>PTAout!C69</f>
        <v>Buses</v>
      </c>
      <c r="B33" s="499"/>
      <c r="C33" s="500"/>
      <c r="D33" s="501"/>
      <c r="E33" s="501"/>
      <c r="F33" s="501"/>
      <c r="G33" s="501"/>
      <c r="H33" s="501"/>
      <c r="I33" s="501"/>
      <c r="J33" s="502"/>
      <c r="K33" s="502"/>
      <c r="L33" s="503"/>
      <c r="M33" s="504"/>
      <c r="N33" s="504"/>
      <c r="O33" s="504"/>
      <c r="P33" s="504"/>
      <c r="Q33" s="504"/>
      <c r="R33" s="504"/>
      <c r="S33" s="504"/>
      <c r="T33" s="504"/>
      <c r="U33" s="504"/>
      <c r="V33" s="507" t="str">
        <f>IF($N33="","",$N33*MCAin!$R49)</f>
        <v/>
      </c>
      <c r="W33" s="508"/>
      <c r="X33" s="508" t="str">
        <f>IF($O33="","",$O33*MCAin!$R49)</f>
        <v/>
      </c>
      <c r="Y33" s="508" t="str">
        <f>IF($P33="","",$P33*MCAin!$R49)</f>
        <v/>
      </c>
      <c r="Z33" s="508" t="str">
        <f>IF($Q33="","",$Q33*MCAin!$R49)</f>
        <v/>
      </c>
      <c r="AA33" s="509" t="str">
        <f>IF($S33="","",$S33*MCAin!$R49)</f>
        <v/>
      </c>
      <c r="AB33" s="507" t="str">
        <f>IF($N33="","",$N33*MCAin!$S49)</f>
        <v/>
      </c>
      <c r="AC33" s="508"/>
      <c r="AD33" s="508" t="str">
        <f>IF($O33="","",$O33*MCAin!$S49)</f>
        <v/>
      </c>
      <c r="AE33" s="508" t="str">
        <f>IF($P33="","",$P33*MCAin!$R49)</f>
        <v/>
      </c>
      <c r="AF33" s="508" t="str">
        <f>IF($Q33="","",$Q33*MCAin!$R49)</f>
        <v/>
      </c>
      <c r="AG33" s="509" t="str">
        <f>IF($S33="","",$S33*MCAin!$S49)</f>
        <v/>
      </c>
      <c r="AH33" s="507" t="str">
        <f>IF($N33="","",$N33*MCAin!$T49)</f>
        <v/>
      </c>
      <c r="AI33" s="508"/>
      <c r="AJ33" s="508" t="str">
        <f>IF($O33="","",$O33*MCAin!$T49)</f>
        <v/>
      </c>
      <c r="AK33" s="508" t="str">
        <f>IF($P33="","",$P33*MCAin!$T49)</f>
        <v/>
      </c>
      <c r="AL33" s="508" t="str">
        <f>IF($Q33="","",$Q33*MCAin!$R49)</f>
        <v/>
      </c>
      <c r="AM33" s="509" t="str">
        <f>IF($S33="","",$S33*MCAin!$S49)</f>
        <v/>
      </c>
      <c r="AN33" s="507" t="str">
        <f>IF($N33="","",$N33*MCAin!$U49)</f>
        <v/>
      </c>
      <c r="AO33" s="508"/>
      <c r="AP33" s="508" t="str">
        <f>IF($O33="","",$O33*MCAin!$U49)</f>
        <v/>
      </c>
      <c r="AQ33" s="508" t="str">
        <f>IF($P33="","",$P33*MCAin!$U49)</f>
        <v/>
      </c>
      <c r="AR33" s="508" t="str">
        <f>IF($Q33="","",$Q33*MCAin!$S49)</f>
        <v/>
      </c>
      <c r="AS33" s="509" t="str">
        <f>IF($U33="","",$U33*MCAin!$T49)</f>
        <v/>
      </c>
      <c r="AT33" s="507" t="str">
        <f>IF($N33="","",$N33*MCAin!$V49)</f>
        <v/>
      </c>
      <c r="AU33" s="508"/>
      <c r="AV33" s="508" t="str">
        <f>IF($O33="","",$O33*MCAin!$V49)</f>
        <v/>
      </c>
      <c r="AW33" s="508" t="str">
        <f>IF($P33="","",$P33*MCAin!$V49)</f>
        <v/>
      </c>
      <c r="AX33" s="508" t="str">
        <f>IF($Q33="","",$Q33*MCAin!$V49)</f>
        <v/>
      </c>
      <c r="AY33" s="509" t="str">
        <f>IF($S33="","",$W33*MCAin!$V49)</f>
        <v/>
      </c>
      <c r="AZ33" s="507" t="str">
        <f>IF($N33="","",$N33*MCAin!$W49)</f>
        <v/>
      </c>
      <c r="BA33" s="508"/>
      <c r="BB33" s="508" t="str">
        <f>IF($O33="","",$O33*MCAin!$W49)</f>
        <v/>
      </c>
      <c r="BC33" s="508" t="str">
        <f>IF($P33="","",$P33*MCAin!$W49)</f>
        <v/>
      </c>
      <c r="BD33" s="508" t="str">
        <f>IF($Q33="","",$Q33*MCAin!$W49)</f>
        <v/>
      </c>
      <c r="BE33" s="509" t="str">
        <f>IF($X33="","",$X33*MCAin!$W49)</f>
        <v/>
      </c>
      <c r="BF33" s="507" t="str">
        <f>IF($N33="","",$N33*MCAin!$X49)</f>
        <v/>
      </c>
      <c r="BG33" s="508"/>
      <c r="BH33" s="508" t="str">
        <f>IF($O33="","",$O33*MCAin!$X49)</f>
        <v/>
      </c>
      <c r="BI33" s="508" t="str">
        <f>IF($P33="","",$P33*MCAin!$X49)</f>
        <v/>
      </c>
      <c r="BJ33" s="508" t="str">
        <f>IF($Q33="","",$Q33*MCAin!$X49)</f>
        <v/>
      </c>
      <c r="BK33" s="509" t="str">
        <f>IF($Y33="","",$Y33*MCAin!$X49)</f>
        <v/>
      </c>
      <c r="BL33" s="507" t="str">
        <f>IF($N33="","",$N33*MCAin!$Y49)</f>
        <v/>
      </c>
      <c r="BM33" s="508"/>
      <c r="BN33" s="508" t="str">
        <f>IF($O33="","",$O33*MCAin!$Y49)</f>
        <v/>
      </c>
      <c r="BO33" s="508" t="str">
        <f>IF($P33="","",$P33*MCAin!$Y49)</f>
        <v/>
      </c>
      <c r="BP33" s="508" t="str">
        <f>IF($Q33="","",$Q33*MCAin!$Y49)</f>
        <v/>
      </c>
      <c r="BQ33" s="509" t="str">
        <f>IF($Z33="","",$Z33*MCAin!$Y49)</f>
        <v/>
      </c>
      <c r="BR33" s="315"/>
      <c r="BS33" s="315"/>
      <c r="BT33" s="315"/>
      <c r="BU33" s="315"/>
      <c r="BV33" s="315"/>
      <c r="BW33" s="315"/>
      <c r="BX33" s="315"/>
      <c r="BY33" s="315"/>
      <c r="BZ33" s="315"/>
    </row>
    <row r="34" spans="1:78" ht="15" customHeight="1">
      <c r="A34" s="314"/>
      <c r="B34" s="110" t="str">
        <f>PTAout!D70</f>
        <v>Space</v>
      </c>
      <c r="C34" s="316"/>
      <c r="D34" s="318" t="str">
        <f>PTAout!H70</f>
        <v/>
      </c>
      <c r="E34" s="318" t="str">
        <f>PTAout!L70</f>
        <v/>
      </c>
      <c r="F34" s="318" t="str">
        <f>PTAout!Q70</f>
        <v/>
      </c>
      <c r="G34" s="318" t="str">
        <f>PTAout!V70</f>
        <v/>
      </c>
      <c r="H34" s="318" t="str">
        <f>PTAout!AA70</f>
        <v/>
      </c>
      <c r="I34" s="318" t="str">
        <f>PTAout!AF70</f>
        <v/>
      </c>
      <c r="J34" s="484">
        <f>IF(MCAin!O50="","",MCAin!O50)</f>
        <v>0</v>
      </c>
      <c r="K34" s="484">
        <f>IF(MCAin!P50="","",MCAin!P50)</f>
        <v>4</v>
      </c>
      <c r="L34" s="314"/>
      <c r="M34" s="534" t="str">
        <f>IF(AND(COUNTIF(D34:I34,"&gt;=0")=$D$1,J34&gt;=0,K34&gt;=0,MCAin!$Q50=""),1,"")</f>
        <v/>
      </c>
      <c r="N34" s="343" t="str">
        <f t="shared" ref="N34:S40" si="4">IF(OR($M34&lt;&gt;1,D34=""),"",(D34-$J34)/($K34-$J34))</f>
        <v/>
      </c>
      <c r="O34" s="343" t="str">
        <f t="shared" si="4"/>
        <v/>
      </c>
      <c r="P34" s="343" t="str">
        <f t="shared" si="4"/>
        <v/>
      </c>
      <c r="Q34" s="343" t="str">
        <f t="shared" si="4"/>
        <v/>
      </c>
      <c r="R34" s="343" t="str">
        <f t="shared" si="4"/>
        <v/>
      </c>
      <c r="S34" s="343" t="str">
        <f t="shared" si="4"/>
        <v/>
      </c>
      <c r="T34" s="343"/>
      <c r="U34" s="344"/>
      <c r="V34" s="463" t="str">
        <f>IF($N34="","",MCAin!$R50*$N34)</f>
        <v/>
      </c>
      <c r="W34" s="345" t="str">
        <f>IF($O34="","",MCAin!$R50*$O34)</f>
        <v/>
      </c>
      <c r="X34" s="345" t="str">
        <f>IF($P34="","",MCAin!$R50*$P34)</f>
        <v/>
      </c>
      <c r="Y34" s="345" t="str">
        <f>IF($Q34="","",MCAin!$R50*$Q34)</f>
        <v/>
      </c>
      <c r="Z34" s="345" t="str">
        <f>IF($R34="","",MCAin!$R50*$R34)</f>
        <v/>
      </c>
      <c r="AA34" s="347" t="str">
        <f>IF($S34="","",MCAin!$R50*$S34)</f>
        <v/>
      </c>
      <c r="AB34" s="463" t="str">
        <f>IF($N34="","",MCAin!$S50*$N34)</f>
        <v/>
      </c>
      <c r="AC34" s="345" t="str">
        <f>IF($O34="","",MCAin!$S50*$O34)</f>
        <v/>
      </c>
      <c r="AD34" s="345" t="str">
        <f>IF($P34="","",MCAin!$S50*$P34)</f>
        <v/>
      </c>
      <c r="AE34" s="345" t="str">
        <f>IF($Q34="","",MCAin!$R50*$Q34)</f>
        <v/>
      </c>
      <c r="AF34" s="345" t="str">
        <f>IF($R34="","",MCAin!$R50*$R34)</f>
        <v/>
      </c>
      <c r="AG34" s="347" t="str">
        <f>IF($S34="","",MCAin!$S50*$S34)</f>
        <v/>
      </c>
      <c r="AH34" s="463" t="str">
        <f>IF($N34="","",MCAin!$T50*$N34)</f>
        <v/>
      </c>
      <c r="AI34" s="345" t="str">
        <f>IF($O34="","",MCAin!$T50*$O34)</f>
        <v/>
      </c>
      <c r="AJ34" s="345" t="str">
        <f>IF($P34="","",MCAin!$T50*$P34)</f>
        <v/>
      </c>
      <c r="AK34" s="345" t="str">
        <f>IF($Q34="","",MCAin!$T50*$Q34)</f>
        <v/>
      </c>
      <c r="AL34" s="345" t="str">
        <f>IF($R34="","",MCAin!$R50*$R34)</f>
        <v/>
      </c>
      <c r="AM34" s="347" t="str">
        <f>IF($S34="","",MCAin!$S50*$S34)</f>
        <v/>
      </c>
      <c r="AN34" s="463" t="str">
        <f>IF($N34="","",MCAin!$U50*$N34)</f>
        <v/>
      </c>
      <c r="AO34" s="345" t="str">
        <f>IF($O34="","",MCAin!$U50*$O34)</f>
        <v/>
      </c>
      <c r="AP34" s="345" t="str">
        <f>IF($P34="","",MCAin!$U50*$P34)</f>
        <v/>
      </c>
      <c r="AQ34" s="345" t="str">
        <f>IF($Q34="","",MCAin!$U50*$Q34)</f>
        <v/>
      </c>
      <c r="AR34" s="345" t="str">
        <f>IF($R34="","",MCAin!$U50*$R34)</f>
        <v/>
      </c>
      <c r="AS34" s="347" t="str">
        <f>IF($S34="","",MCAin!$U50*$S34)</f>
        <v/>
      </c>
      <c r="AT34" s="463" t="str">
        <f>IF($N34="","",MCAin!$V50*$N34)</f>
        <v/>
      </c>
      <c r="AU34" s="345" t="str">
        <f>IF($O34="","",MCAin!$V50*$O34)</f>
        <v/>
      </c>
      <c r="AV34" s="345" t="str">
        <f>IF($P34="","",MCAin!$V50*$P34)</f>
        <v/>
      </c>
      <c r="AW34" s="345" t="str">
        <f>IF($Q34="","",MCAin!$V50*$Q34)</f>
        <v/>
      </c>
      <c r="AX34" s="345" t="str">
        <f>IF($R34="","",MCAin!$V50*$R34)</f>
        <v/>
      </c>
      <c r="AY34" s="347" t="str">
        <f>IF($S34="","",MCAin!$V50*$S34)</f>
        <v/>
      </c>
      <c r="AZ34" s="463" t="str">
        <f>IF($N34="","",MCAin!$W50*$N34)</f>
        <v/>
      </c>
      <c r="BA34" s="345" t="str">
        <f>IF($O34="","",MCAin!$W50*$O34)</f>
        <v/>
      </c>
      <c r="BB34" s="345" t="str">
        <f>IF($P34="","",MCAin!$W50*$P34)</f>
        <v/>
      </c>
      <c r="BC34" s="345" t="str">
        <f>IF($Q34="","",MCAin!$W50*$Q34)</f>
        <v/>
      </c>
      <c r="BD34" s="345" t="str">
        <f>IF($R34="","",MCAin!$W50*$R34)</f>
        <v/>
      </c>
      <c r="BE34" s="347" t="str">
        <f>IF($S34="","",MCAin!$W50*$S34)</f>
        <v/>
      </c>
      <c r="BF34" s="463" t="str">
        <f>IF($N34="","",MCAin!$X50*$N34)</f>
        <v/>
      </c>
      <c r="BG34" s="345" t="str">
        <f>IF($O34="","",MCAin!$X50*$O34)</f>
        <v/>
      </c>
      <c r="BH34" s="345" t="str">
        <f>IF($P34="","",MCAin!$X50*$P34)</f>
        <v/>
      </c>
      <c r="BI34" s="345" t="str">
        <f>IF($Q34="","",MCAin!$X50*$Q34)</f>
        <v/>
      </c>
      <c r="BJ34" s="345" t="str">
        <f>IF($R34="","",MCAin!$X50*$R34)</f>
        <v/>
      </c>
      <c r="BK34" s="347" t="str">
        <f>IF($S34="","",MCAin!$X50*$S34)</f>
        <v/>
      </c>
      <c r="BL34" s="463" t="str">
        <f>IF($N34="","",MCAin!$Y50*$N34)</f>
        <v/>
      </c>
      <c r="BM34" s="345" t="str">
        <f>IF($O34="","",MCAin!$Y50*$O34)</f>
        <v/>
      </c>
      <c r="BN34" s="345" t="str">
        <f>IF($P34="","",MCAin!$Y50*$P34)</f>
        <v/>
      </c>
      <c r="BO34" s="345" t="str">
        <f>IF($Q34="","",MCAin!$Y50*$Q34)</f>
        <v/>
      </c>
      <c r="BP34" s="345" t="str">
        <f>IF($R34="","",MCAin!$Y50*$R34)</f>
        <v/>
      </c>
      <c r="BQ34" s="347" t="str">
        <f>IF($S34="","",MCAin!$Y50*$S34)</f>
        <v/>
      </c>
      <c r="BR34" s="315"/>
      <c r="BS34" s="315"/>
      <c r="BT34" s="315"/>
      <c r="BU34" s="315"/>
      <c r="BV34" s="315"/>
      <c r="BW34" s="315"/>
      <c r="BX34" s="315"/>
      <c r="BY34" s="315"/>
      <c r="BZ34" s="315"/>
    </row>
    <row r="35" spans="1:78" ht="15" customHeight="1">
      <c r="A35" s="314"/>
      <c r="B35" s="110" t="str">
        <f>PTAout!D71</f>
        <v>Volume</v>
      </c>
      <c r="C35" s="316"/>
      <c r="D35" s="318" t="str">
        <f>PTAout!H71</f>
        <v/>
      </c>
      <c r="E35" s="318" t="str">
        <f>PTAout!L71</f>
        <v/>
      </c>
      <c r="F35" s="318" t="str">
        <f>PTAout!Q71</f>
        <v/>
      </c>
      <c r="G35" s="318" t="str">
        <f>PTAout!V71</f>
        <v/>
      </c>
      <c r="H35" s="318" t="str">
        <f>PTAout!AA71</f>
        <v/>
      </c>
      <c r="I35" s="318" t="str">
        <f>PTAout!AF71</f>
        <v/>
      </c>
      <c r="J35" s="484">
        <f>IF(MCAin!O51="","",MCAin!O51)</f>
        <v>0</v>
      </c>
      <c r="K35" s="484">
        <f>IF(MCAin!P51="","",MCAin!P51)</f>
        <v>12000</v>
      </c>
      <c r="L35" s="314"/>
      <c r="M35" s="534" t="str">
        <f>IF(AND(COUNTIF(D35:I35,"&gt;=0")=$D$1,J35&gt;=0,K35&gt;=0,MCAin!$Q51=""),1,"")</f>
        <v/>
      </c>
      <c r="N35" s="343" t="str">
        <f t="shared" si="4"/>
        <v/>
      </c>
      <c r="O35" s="343" t="str">
        <f t="shared" si="4"/>
        <v/>
      </c>
      <c r="P35" s="343" t="str">
        <f t="shared" si="4"/>
        <v/>
      </c>
      <c r="Q35" s="343" t="str">
        <f t="shared" si="4"/>
        <v/>
      </c>
      <c r="R35" s="343" t="str">
        <f t="shared" si="4"/>
        <v/>
      </c>
      <c r="S35" s="343" t="str">
        <f t="shared" si="4"/>
        <v/>
      </c>
      <c r="T35" s="343"/>
      <c r="U35" s="344"/>
      <c r="V35" s="463" t="str">
        <f>IF($N35="","",MCAin!$R51*$N35)</f>
        <v/>
      </c>
      <c r="W35" s="345" t="str">
        <f>IF($O35="","",MCAin!$R51*$O35)</f>
        <v/>
      </c>
      <c r="X35" s="345" t="str">
        <f>IF($P35="","",MCAin!$R51*$P35)</f>
        <v/>
      </c>
      <c r="Y35" s="345" t="str">
        <f>IF($Q35="","",MCAin!$R51*$Q35)</f>
        <v/>
      </c>
      <c r="Z35" s="345" t="str">
        <f>IF($R35="","",MCAin!$R51*$R35)</f>
        <v/>
      </c>
      <c r="AA35" s="347" t="str">
        <f>IF($S35="","",MCAin!$R51*$S35)</f>
        <v/>
      </c>
      <c r="AB35" s="463" t="str">
        <f>IF($N35="","",MCAin!$S51*$N35)</f>
        <v/>
      </c>
      <c r="AC35" s="345" t="str">
        <f>IF($O35="","",MCAin!$S51*$O35)</f>
        <v/>
      </c>
      <c r="AD35" s="345" t="str">
        <f>IF($P35="","",MCAin!$S51*$P35)</f>
        <v/>
      </c>
      <c r="AE35" s="345" t="str">
        <f>IF($Q35="","",MCAin!$R51*$Q35)</f>
        <v/>
      </c>
      <c r="AF35" s="345" t="str">
        <f>IF($R35="","",MCAin!$R51*$R35)</f>
        <v/>
      </c>
      <c r="AG35" s="347" t="str">
        <f>IF($S35="","",MCAin!$S51*$S35)</f>
        <v/>
      </c>
      <c r="AH35" s="463" t="str">
        <f>IF($N35="","",MCAin!$T51*$N35)</f>
        <v/>
      </c>
      <c r="AI35" s="345" t="str">
        <f>IF($O35="","",MCAin!$T51*$O35)</f>
        <v/>
      </c>
      <c r="AJ35" s="345" t="str">
        <f>IF($P35="","",MCAin!$T51*$P35)</f>
        <v/>
      </c>
      <c r="AK35" s="345" t="str">
        <f>IF($Q35="","",MCAin!$T51*$Q35)</f>
        <v/>
      </c>
      <c r="AL35" s="345" t="str">
        <f>IF($R35="","",MCAin!$R51*$R35)</f>
        <v/>
      </c>
      <c r="AM35" s="347" t="str">
        <f>IF($S35="","",MCAin!$S51*$S35)</f>
        <v/>
      </c>
      <c r="AN35" s="463" t="str">
        <f>IF($N35="","",MCAin!$U51*$N35)</f>
        <v/>
      </c>
      <c r="AO35" s="345" t="str">
        <f>IF($O35="","",MCAin!$U51*$O35)</f>
        <v/>
      </c>
      <c r="AP35" s="345" t="str">
        <f>IF($P35="","",MCAin!$U51*$P35)</f>
        <v/>
      </c>
      <c r="AQ35" s="345" t="str">
        <f>IF($Q35="","",MCAin!$U51*$Q35)</f>
        <v/>
      </c>
      <c r="AR35" s="345" t="str">
        <f>IF($R35="","",MCAin!$U51*$R35)</f>
        <v/>
      </c>
      <c r="AS35" s="347" t="str">
        <f>IF($S35="","",MCAin!$U51*$S35)</f>
        <v/>
      </c>
      <c r="AT35" s="463" t="str">
        <f>IF($N35="","",MCAin!$V51*$N35)</f>
        <v/>
      </c>
      <c r="AU35" s="345" t="str">
        <f>IF($O35="","",MCAin!$V51*$O35)</f>
        <v/>
      </c>
      <c r="AV35" s="345" t="str">
        <f>IF($P35="","",MCAin!$V51*$P35)</f>
        <v/>
      </c>
      <c r="AW35" s="345" t="str">
        <f>IF($Q35="","",MCAin!$V51*$Q35)</f>
        <v/>
      </c>
      <c r="AX35" s="345" t="str">
        <f>IF($R35="","",MCAin!$V51*$R35)</f>
        <v/>
      </c>
      <c r="AY35" s="347" t="str">
        <f>IF($S35="","",MCAin!$V51*$S35)</f>
        <v/>
      </c>
      <c r="AZ35" s="463" t="str">
        <f>IF($N35="","",MCAin!$W51*$N35)</f>
        <v/>
      </c>
      <c r="BA35" s="345" t="str">
        <f>IF($O35="","",MCAin!$W51*$O35)</f>
        <v/>
      </c>
      <c r="BB35" s="345" t="str">
        <f>IF($P35="","",MCAin!$W51*$P35)</f>
        <v/>
      </c>
      <c r="BC35" s="345" t="str">
        <f>IF($Q35="","",MCAin!$W51*$Q35)</f>
        <v/>
      </c>
      <c r="BD35" s="345" t="str">
        <f>IF($R35="","",MCAin!$W51*$R35)</f>
        <v/>
      </c>
      <c r="BE35" s="347" t="str">
        <f>IF($S35="","",MCAin!$W51*$S35)</f>
        <v/>
      </c>
      <c r="BF35" s="463" t="str">
        <f>IF($N35="","",MCAin!$X51*$N35)</f>
        <v/>
      </c>
      <c r="BG35" s="345" t="str">
        <f>IF($O35="","",MCAin!$X51*$O35)</f>
        <v/>
      </c>
      <c r="BH35" s="345" t="str">
        <f>IF($P35="","",MCAin!$X51*$P35)</f>
        <v/>
      </c>
      <c r="BI35" s="345" t="str">
        <f>IF($Q35="","",MCAin!$X51*$Q35)</f>
        <v/>
      </c>
      <c r="BJ35" s="345" t="str">
        <f>IF($R35="","",MCAin!$X51*$R35)</f>
        <v/>
      </c>
      <c r="BK35" s="347" t="str">
        <f>IF($S35="","",MCAin!$X51*$S35)</f>
        <v/>
      </c>
      <c r="BL35" s="463" t="str">
        <f>IF($N35="","",MCAin!$Y51*$N35)</f>
        <v/>
      </c>
      <c r="BM35" s="345" t="str">
        <f>IF($O35="","",MCAin!$Y51*$O35)</f>
        <v/>
      </c>
      <c r="BN35" s="345" t="str">
        <f>IF($P35="","",MCAin!$Y51*$P35)</f>
        <v/>
      </c>
      <c r="BO35" s="345" t="str">
        <f>IF($Q35="","",MCAin!$Y51*$Q35)</f>
        <v/>
      </c>
      <c r="BP35" s="345" t="str">
        <f>IF($R35="","",MCAin!$Y51*$R35)</f>
        <v/>
      </c>
      <c r="BQ35" s="347" t="str">
        <f>IF($S35="","",MCAin!$Y51*$S35)</f>
        <v/>
      </c>
      <c r="BR35" s="315"/>
      <c r="BS35" s="315"/>
      <c r="BT35" s="315"/>
      <c r="BU35" s="315"/>
      <c r="BV35" s="315"/>
      <c r="BW35" s="315"/>
      <c r="BX35" s="315"/>
      <c r="BY35" s="315"/>
      <c r="BZ35" s="315"/>
    </row>
    <row r="36" spans="1:78" ht="15" customHeight="1">
      <c r="A36" s="314"/>
      <c r="B36" s="110" t="str">
        <f>PTAout!D72</f>
        <v>Speed</v>
      </c>
      <c r="C36" s="316"/>
      <c r="D36" s="234" t="str">
        <f>PTAout!H72</f>
        <v/>
      </c>
      <c r="E36" s="234" t="str">
        <f>PTAout!L72</f>
        <v/>
      </c>
      <c r="F36" s="234" t="str">
        <f>PTAout!Q72</f>
        <v/>
      </c>
      <c r="G36" s="234" t="str">
        <f>PTAout!V72</f>
        <v/>
      </c>
      <c r="H36" s="234" t="str">
        <f>PTAout!AA72</f>
        <v/>
      </c>
      <c r="I36" s="234" t="str">
        <f>PTAout!AF72</f>
        <v/>
      </c>
      <c r="J36" s="484">
        <f>IF(MCAin!O52="","",MCAin!O52)</f>
        <v>5</v>
      </c>
      <c r="K36" s="484">
        <f>IF(MCAin!P52="","",MCAin!P52)</f>
        <v>60</v>
      </c>
      <c r="L36" s="314"/>
      <c r="M36" s="534" t="str">
        <f>IF(AND(COUNTIF(D36:I36,"&gt;=0")=$D$1,J36&gt;=0,K36&gt;=0,MCAin!$Q52=""),1,"")</f>
        <v/>
      </c>
      <c r="N36" s="343" t="str">
        <f t="shared" si="4"/>
        <v/>
      </c>
      <c r="O36" s="343" t="str">
        <f t="shared" si="4"/>
        <v/>
      </c>
      <c r="P36" s="343" t="str">
        <f t="shared" si="4"/>
        <v/>
      </c>
      <c r="Q36" s="343" t="str">
        <f t="shared" si="4"/>
        <v/>
      </c>
      <c r="R36" s="343" t="str">
        <f t="shared" si="4"/>
        <v/>
      </c>
      <c r="S36" s="343" t="str">
        <f t="shared" si="4"/>
        <v/>
      </c>
      <c r="T36" s="343"/>
      <c r="U36" s="344"/>
      <c r="V36" s="463" t="str">
        <f>IF($N36="","",MCAin!$R52*$N36)</f>
        <v/>
      </c>
      <c r="W36" s="345" t="str">
        <f>IF($O36="","",MCAin!$R52*$O36)</f>
        <v/>
      </c>
      <c r="X36" s="345" t="str">
        <f>IF($P36="","",MCAin!$R52*$P36)</f>
        <v/>
      </c>
      <c r="Y36" s="345" t="str">
        <f>IF($Q36="","",MCAin!$R52*$Q36)</f>
        <v/>
      </c>
      <c r="Z36" s="345" t="str">
        <f>IF($R36="","",MCAin!$R52*$R36)</f>
        <v/>
      </c>
      <c r="AA36" s="347" t="str">
        <f>IF($S36="","",MCAin!$R52*$S36)</f>
        <v/>
      </c>
      <c r="AB36" s="463" t="str">
        <f>IF($N36="","",MCAin!$S52*$N36)</f>
        <v/>
      </c>
      <c r="AC36" s="345" t="str">
        <f>IF($O36="","",MCAin!$S52*$O36)</f>
        <v/>
      </c>
      <c r="AD36" s="345" t="str">
        <f>IF($P36="","",MCAin!$S52*$P36)</f>
        <v/>
      </c>
      <c r="AE36" s="345" t="str">
        <f>IF($Q36="","",MCAin!$R52*$Q36)</f>
        <v/>
      </c>
      <c r="AF36" s="345" t="str">
        <f>IF($R36="","",MCAin!$R52*$R36)</f>
        <v/>
      </c>
      <c r="AG36" s="347" t="str">
        <f>IF($S36="","",MCAin!$S52*$S36)</f>
        <v/>
      </c>
      <c r="AH36" s="463" t="str">
        <f>IF($N36="","",MCAin!$T52*$N36)</f>
        <v/>
      </c>
      <c r="AI36" s="345" t="str">
        <f>IF($O36="","",MCAin!$T52*$O36)</f>
        <v/>
      </c>
      <c r="AJ36" s="345" t="str">
        <f>IF($P36="","",MCAin!$T52*$P36)</f>
        <v/>
      </c>
      <c r="AK36" s="345" t="str">
        <f>IF($Q36="","",MCAin!$T52*$Q36)</f>
        <v/>
      </c>
      <c r="AL36" s="345" t="str">
        <f>IF($R36="","",MCAin!$R52*$R36)</f>
        <v/>
      </c>
      <c r="AM36" s="347" t="str">
        <f>IF($S36="","",MCAin!$S52*$S36)</f>
        <v/>
      </c>
      <c r="AN36" s="463" t="str">
        <f>IF($N36="","",MCAin!$U52*$N36)</f>
        <v/>
      </c>
      <c r="AO36" s="345" t="str">
        <f>IF($O36="","",MCAin!$U52*$O36)</f>
        <v/>
      </c>
      <c r="AP36" s="345" t="str">
        <f>IF($P36="","",MCAin!$U52*$P36)</f>
        <v/>
      </c>
      <c r="AQ36" s="345" t="str">
        <f>IF($Q36="","",MCAin!$U52*$Q36)</f>
        <v/>
      </c>
      <c r="AR36" s="345" t="str">
        <f>IF($R36="","",MCAin!$U52*$R36)</f>
        <v/>
      </c>
      <c r="AS36" s="347" t="str">
        <f>IF($S36="","",MCAin!$U52*$S36)</f>
        <v/>
      </c>
      <c r="AT36" s="463" t="str">
        <f>IF($N36="","",MCAin!$V52*$N36)</f>
        <v/>
      </c>
      <c r="AU36" s="345" t="str">
        <f>IF($O36="","",MCAin!$V52*$O36)</f>
        <v/>
      </c>
      <c r="AV36" s="345" t="str">
        <f>IF($P36="","",MCAin!$V52*$P36)</f>
        <v/>
      </c>
      <c r="AW36" s="345" t="str">
        <f>IF($Q36="","",MCAin!$V52*$Q36)</f>
        <v/>
      </c>
      <c r="AX36" s="345" t="str">
        <f>IF($R36="","",MCAin!$V52*$R36)</f>
        <v/>
      </c>
      <c r="AY36" s="347" t="str">
        <f>IF($S36="","",MCAin!$V52*$S36)</f>
        <v/>
      </c>
      <c r="AZ36" s="463" t="str">
        <f>IF($N36="","",MCAin!$W52*$N36)</f>
        <v/>
      </c>
      <c r="BA36" s="345" t="str">
        <f>IF($O36="","",MCAin!$W52*$O36)</f>
        <v/>
      </c>
      <c r="BB36" s="345" t="str">
        <f>IF($P36="","",MCAin!$W52*$P36)</f>
        <v/>
      </c>
      <c r="BC36" s="345" t="str">
        <f>IF($Q36="","",MCAin!$W52*$Q36)</f>
        <v/>
      </c>
      <c r="BD36" s="345" t="str">
        <f>IF($R36="","",MCAin!$W52*$R36)</f>
        <v/>
      </c>
      <c r="BE36" s="347" t="str">
        <f>IF($S36="","",MCAin!$W52*$S36)</f>
        <v/>
      </c>
      <c r="BF36" s="463" t="str">
        <f>IF($N36="","",MCAin!$X52*$N36)</f>
        <v/>
      </c>
      <c r="BG36" s="345" t="str">
        <f>IF($O36="","",MCAin!$X52*$O36)</f>
        <v/>
      </c>
      <c r="BH36" s="345" t="str">
        <f>IF($P36="","",MCAin!$X52*$P36)</f>
        <v/>
      </c>
      <c r="BI36" s="345" t="str">
        <f>IF($Q36="","",MCAin!$X52*$Q36)</f>
        <v/>
      </c>
      <c r="BJ36" s="345" t="str">
        <f>IF($R36="","",MCAin!$X52*$R36)</f>
        <v/>
      </c>
      <c r="BK36" s="347" t="str">
        <f>IF($S36="","",MCAin!$X52*$S36)</f>
        <v/>
      </c>
      <c r="BL36" s="463" t="str">
        <f>IF($N36="","",MCAin!$Y52*$N36)</f>
        <v/>
      </c>
      <c r="BM36" s="345" t="str">
        <f>IF($O36="","",MCAin!$Y52*$O36)</f>
        <v/>
      </c>
      <c r="BN36" s="345" t="str">
        <f>IF($P36="","",MCAin!$Y52*$P36)</f>
        <v/>
      </c>
      <c r="BO36" s="345" t="str">
        <f>IF($Q36="","",MCAin!$Y52*$Q36)</f>
        <v/>
      </c>
      <c r="BP36" s="345" t="str">
        <f>IF($R36="","",MCAin!$Y52*$R36)</f>
        <v/>
      </c>
      <c r="BQ36" s="347" t="str">
        <f>IF($S36="","",MCAin!$Y52*$S36)</f>
        <v/>
      </c>
      <c r="BR36" s="315"/>
      <c r="BS36" s="315"/>
      <c r="BT36" s="315"/>
      <c r="BU36" s="315"/>
      <c r="BV36" s="315"/>
      <c r="BW36" s="315"/>
      <c r="BX36" s="315"/>
      <c r="BY36" s="315"/>
      <c r="BZ36" s="315"/>
    </row>
    <row r="37" spans="1:78" ht="15" customHeight="1">
      <c r="A37" s="314"/>
      <c r="B37" s="110" t="s">
        <v>296</v>
      </c>
      <c r="C37" s="316"/>
      <c r="D37" s="319"/>
      <c r="E37" s="319"/>
      <c r="F37" s="319"/>
      <c r="G37" s="319"/>
      <c r="H37" s="319"/>
      <c r="I37" s="319"/>
      <c r="J37" s="484">
        <f>IF(MCAin!O53="","",MCAin!O53)</f>
        <v>60</v>
      </c>
      <c r="K37" s="484">
        <f>IF(MCAin!P53="","",MCAin!P53)</f>
        <v>1</v>
      </c>
      <c r="L37" s="314"/>
      <c r="M37" s="534" t="str">
        <f>IF(AND(COUNTIF(D37:I37,"&gt;=0")=$D$1,J37&gt;=0,K37&gt;=0,MCAin!$Q53=""),1,"")</f>
        <v/>
      </c>
      <c r="N37" s="343" t="str">
        <f t="shared" si="4"/>
        <v/>
      </c>
      <c r="O37" s="343" t="str">
        <f t="shared" si="4"/>
        <v/>
      </c>
      <c r="P37" s="343" t="str">
        <f t="shared" si="4"/>
        <v/>
      </c>
      <c r="Q37" s="343" t="str">
        <f t="shared" si="4"/>
        <v/>
      </c>
      <c r="R37" s="343" t="str">
        <f t="shared" si="4"/>
        <v/>
      </c>
      <c r="S37" s="343" t="str">
        <f t="shared" si="4"/>
        <v/>
      </c>
      <c r="T37" s="343"/>
      <c r="U37" s="344"/>
      <c r="V37" s="463" t="str">
        <f>IF($N37="","",MCAin!$R53*$N37)</f>
        <v/>
      </c>
      <c r="W37" s="345" t="str">
        <f>IF($O37="","",MCAin!$R53*$O37)</f>
        <v/>
      </c>
      <c r="X37" s="345" t="str">
        <f>IF($P37="","",MCAin!$R53*$P37)</f>
        <v/>
      </c>
      <c r="Y37" s="345" t="str">
        <f>IF($Q37="","",MCAin!$R53*$Q37)</f>
        <v/>
      </c>
      <c r="Z37" s="345" t="str">
        <f>IF($R37="","",MCAin!$R53*$R37)</f>
        <v/>
      </c>
      <c r="AA37" s="347" t="str">
        <f>IF($S37="","",MCAin!$R53*$S37)</f>
        <v/>
      </c>
      <c r="AB37" s="463" t="str">
        <f>IF($N37="","",MCAin!$S53*$N37)</f>
        <v/>
      </c>
      <c r="AC37" s="345" t="str">
        <f>IF($O37="","",MCAin!$S53*$O37)</f>
        <v/>
      </c>
      <c r="AD37" s="345" t="str">
        <f>IF($P37="","",MCAin!$S53*$P37)</f>
        <v/>
      </c>
      <c r="AE37" s="345" t="str">
        <f>IF($Q37="","",MCAin!$R53*$Q37)</f>
        <v/>
      </c>
      <c r="AF37" s="345" t="str">
        <f>IF($R37="","",MCAin!$R53*$R37)</f>
        <v/>
      </c>
      <c r="AG37" s="347" t="str">
        <f>IF($S37="","",MCAin!$S53*$S37)</f>
        <v/>
      </c>
      <c r="AH37" s="463" t="str">
        <f>IF($N37="","",MCAin!$T53*$N37)</f>
        <v/>
      </c>
      <c r="AI37" s="345" t="str">
        <f>IF($O37="","",MCAin!$T53*$O37)</f>
        <v/>
      </c>
      <c r="AJ37" s="345" t="str">
        <f>IF($P37="","",MCAin!$T53*$P37)</f>
        <v/>
      </c>
      <c r="AK37" s="345" t="str">
        <f>IF($Q37="","",MCAin!$T53*$Q37)</f>
        <v/>
      </c>
      <c r="AL37" s="345" t="str">
        <f>IF($R37="","",MCAin!$R53*$R37)</f>
        <v/>
      </c>
      <c r="AM37" s="347" t="str">
        <f>IF($S37="","",MCAin!$S53*$S37)</f>
        <v/>
      </c>
      <c r="AN37" s="463" t="str">
        <f>IF($N37="","",MCAin!$U53*$N37)</f>
        <v/>
      </c>
      <c r="AO37" s="345" t="str">
        <f>IF($O37="","",MCAin!$U53*$O37)</f>
        <v/>
      </c>
      <c r="AP37" s="345" t="str">
        <f>IF($P37="","",MCAin!$U53*$P37)</f>
        <v/>
      </c>
      <c r="AQ37" s="345" t="str">
        <f>IF($Q37="","",MCAin!$U53*$Q37)</f>
        <v/>
      </c>
      <c r="AR37" s="345" t="str">
        <f>IF($R37="","",MCAin!$U53*$R37)</f>
        <v/>
      </c>
      <c r="AS37" s="347" t="str">
        <f>IF($S37="","",MCAin!$U53*$S37)</f>
        <v/>
      </c>
      <c r="AT37" s="463" t="str">
        <f>IF($N37="","",MCAin!$V53*$N37)</f>
        <v/>
      </c>
      <c r="AU37" s="345" t="str">
        <f>IF($O37="","",MCAin!$V53*$O37)</f>
        <v/>
      </c>
      <c r="AV37" s="345" t="str">
        <f>IF($P37="","",MCAin!$V53*$P37)</f>
        <v/>
      </c>
      <c r="AW37" s="345" t="str">
        <f>IF($Q37="","",MCAin!$V53*$Q37)</f>
        <v/>
      </c>
      <c r="AX37" s="345" t="str">
        <f>IF($R37="","",MCAin!$V53*$R37)</f>
        <v/>
      </c>
      <c r="AY37" s="347" t="str">
        <f>IF($S37="","",MCAin!$V53*$S37)</f>
        <v/>
      </c>
      <c r="AZ37" s="463" t="str">
        <f>IF($N37="","",MCAin!$W53*$N37)</f>
        <v/>
      </c>
      <c r="BA37" s="345" t="str">
        <f>IF($O37="","",MCAin!$W53*$O37)</f>
        <v/>
      </c>
      <c r="BB37" s="345" t="str">
        <f>IF($P37="","",MCAin!$W53*$P37)</f>
        <v/>
      </c>
      <c r="BC37" s="345" t="str">
        <f>IF($Q37="","",MCAin!$W53*$Q37)</f>
        <v/>
      </c>
      <c r="BD37" s="345" t="str">
        <f>IF($R37="","",MCAin!$W53*$R37)</f>
        <v/>
      </c>
      <c r="BE37" s="347" t="str">
        <f>IF($S37="","",MCAin!$W53*$S37)</f>
        <v/>
      </c>
      <c r="BF37" s="463" t="str">
        <f>IF($N37="","",MCAin!$X53*$N37)</f>
        <v/>
      </c>
      <c r="BG37" s="345" t="str">
        <f>IF($O37="","",MCAin!$X53*$O37)</f>
        <v/>
      </c>
      <c r="BH37" s="345" t="str">
        <f>IF($P37="","",MCAin!$X53*$P37)</f>
        <v/>
      </c>
      <c r="BI37" s="345" t="str">
        <f>IF($Q37="","",MCAin!$X53*$Q37)</f>
        <v/>
      </c>
      <c r="BJ37" s="345" t="str">
        <f>IF($R37="","",MCAin!$X53*$R37)</f>
        <v/>
      </c>
      <c r="BK37" s="347" t="str">
        <f>IF($S37="","",MCAin!$X53*$S37)</f>
        <v/>
      </c>
      <c r="BL37" s="463" t="str">
        <f>IF($N37="","",MCAin!$Y53*$N37)</f>
        <v/>
      </c>
      <c r="BM37" s="345" t="str">
        <f>IF($O37="","",MCAin!$Y53*$O37)</f>
        <v/>
      </c>
      <c r="BN37" s="345" t="str">
        <f>IF($P37="","",MCAin!$Y53*$P37)</f>
        <v/>
      </c>
      <c r="BO37" s="345" t="str">
        <f>IF($Q37="","",MCAin!$Y53*$Q37)</f>
        <v/>
      </c>
      <c r="BP37" s="345" t="str">
        <f>IF($R37="","",MCAin!$Y53*$R37)</f>
        <v/>
      </c>
      <c r="BQ37" s="347" t="str">
        <f>IF($S37="","",MCAin!$Y53*$S37)</f>
        <v/>
      </c>
      <c r="BR37" s="315"/>
      <c r="BS37" s="315"/>
      <c r="BT37" s="315"/>
      <c r="BU37" s="315"/>
      <c r="BV37" s="315"/>
      <c r="BW37" s="315"/>
      <c r="BX37" s="315"/>
      <c r="BY37" s="315"/>
      <c r="BZ37" s="315"/>
    </row>
    <row r="38" spans="1:78" ht="15" customHeight="1">
      <c r="A38" s="314"/>
      <c r="B38" s="110" t="str">
        <f>PTAout!D74</f>
        <v>Delays</v>
      </c>
      <c r="C38" s="316"/>
      <c r="D38" s="234" t="str">
        <f>PTAout!H74</f>
        <v/>
      </c>
      <c r="E38" s="234" t="str">
        <f>PTAout!L74</f>
        <v/>
      </c>
      <c r="F38" s="234" t="str">
        <f>PTAout!Q74</f>
        <v/>
      </c>
      <c r="G38" s="234" t="str">
        <f>PTAout!V74</f>
        <v/>
      </c>
      <c r="H38" s="234" t="str">
        <f>PTAout!AA74</f>
        <v/>
      </c>
      <c r="I38" s="234" t="str">
        <f>PTAout!AF74</f>
        <v/>
      </c>
      <c r="J38" s="484">
        <f>IF(MCAin!O54="","",MCAin!O54)</f>
        <v>1.5</v>
      </c>
      <c r="K38" s="484">
        <f>IF(MCAin!P54="","",MCAin!P54)</f>
        <v>0</v>
      </c>
      <c r="L38" s="314"/>
      <c r="M38" s="534" t="str">
        <f>IF(AND(COUNTIF(D38:I38,"&gt;=0")=$D$1,J38&gt;=0,K38&gt;=0,MCAin!$Q54=""),1,"")</f>
        <v/>
      </c>
      <c r="N38" s="343" t="str">
        <f t="shared" si="4"/>
        <v/>
      </c>
      <c r="O38" s="343" t="str">
        <f t="shared" si="4"/>
        <v/>
      </c>
      <c r="P38" s="343" t="str">
        <f t="shared" si="4"/>
        <v/>
      </c>
      <c r="Q38" s="343" t="str">
        <f t="shared" si="4"/>
        <v/>
      </c>
      <c r="R38" s="343" t="str">
        <f t="shared" si="4"/>
        <v/>
      </c>
      <c r="S38" s="343" t="str">
        <f t="shared" si="4"/>
        <v/>
      </c>
      <c r="T38" s="343"/>
      <c r="U38" s="344"/>
      <c r="V38" s="463" t="str">
        <f>IF($N38="","",MCAin!$R54*$N38)</f>
        <v/>
      </c>
      <c r="W38" s="345" t="str">
        <f>IF($O38="","",MCAin!$R54*$O38)</f>
        <v/>
      </c>
      <c r="X38" s="345" t="str">
        <f>IF($P38="","",MCAin!$R54*$P38)</f>
        <v/>
      </c>
      <c r="Y38" s="345" t="str">
        <f>IF($Q38="","",MCAin!$R54*$Q38)</f>
        <v/>
      </c>
      <c r="Z38" s="345" t="str">
        <f>IF($R38="","",MCAin!$R54*$R38)</f>
        <v/>
      </c>
      <c r="AA38" s="347" t="str">
        <f>IF($S38="","",MCAin!$R54*$S38)</f>
        <v/>
      </c>
      <c r="AB38" s="463" t="str">
        <f>IF($N38="","",MCAin!$S54*$N38)</f>
        <v/>
      </c>
      <c r="AC38" s="345" t="str">
        <f>IF($O38="","",MCAin!$S54*$O38)</f>
        <v/>
      </c>
      <c r="AD38" s="345" t="str">
        <f>IF($P38="","",MCAin!$S54*$P38)</f>
        <v/>
      </c>
      <c r="AE38" s="345" t="str">
        <f>IF($Q38="","",MCAin!$R54*$Q38)</f>
        <v/>
      </c>
      <c r="AF38" s="345" t="str">
        <f>IF($R38="","",MCAin!$R54*$R38)</f>
        <v/>
      </c>
      <c r="AG38" s="347" t="str">
        <f>IF($S38="","",MCAin!$S54*$S38)</f>
        <v/>
      </c>
      <c r="AH38" s="463" t="str">
        <f>IF($N38="","",MCAin!$T54*$N38)</f>
        <v/>
      </c>
      <c r="AI38" s="345" t="str">
        <f>IF($O38="","",MCAin!$T54*$O38)</f>
        <v/>
      </c>
      <c r="AJ38" s="345" t="str">
        <f>IF($P38="","",MCAin!$T54*$P38)</f>
        <v/>
      </c>
      <c r="AK38" s="345" t="str">
        <f>IF($Q38="","",MCAin!$T54*$Q38)</f>
        <v/>
      </c>
      <c r="AL38" s="345" t="str">
        <f>IF($R38="","",MCAin!$R54*$R38)</f>
        <v/>
      </c>
      <c r="AM38" s="347" t="str">
        <f>IF($S38="","",MCAin!$S54*$S38)</f>
        <v/>
      </c>
      <c r="AN38" s="463" t="str">
        <f>IF($N38="","",MCAin!$U54*$N38)</f>
        <v/>
      </c>
      <c r="AO38" s="345" t="str">
        <f>IF($O38="","",MCAin!$U54*$O38)</f>
        <v/>
      </c>
      <c r="AP38" s="345" t="str">
        <f>IF($P38="","",MCAin!$U54*$P38)</f>
        <v/>
      </c>
      <c r="AQ38" s="345" t="str">
        <f>IF($Q38="","",MCAin!$U54*$Q38)</f>
        <v/>
      </c>
      <c r="AR38" s="345" t="str">
        <f>IF($R38="","",MCAin!$U54*$R38)</f>
        <v/>
      </c>
      <c r="AS38" s="347" t="str">
        <f>IF($S38="","",MCAin!$U54*$S38)</f>
        <v/>
      </c>
      <c r="AT38" s="463" t="str">
        <f>IF($N38="","",MCAin!$V54*$N38)</f>
        <v/>
      </c>
      <c r="AU38" s="345" t="str">
        <f>IF($O38="","",MCAin!$V54*$O38)</f>
        <v/>
      </c>
      <c r="AV38" s="345" t="str">
        <f>IF($P38="","",MCAin!$V54*$P38)</f>
        <v/>
      </c>
      <c r="AW38" s="345" t="str">
        <f>IF($Q38="","",MCAin!$V54*$Q38)</f>
        <v/>
      </c>
      <c r="AX38" s="345" t="str">
        <f>IF($R38="","",MCAin!$V54*$R38)</f>
        <v/>
      </c>
      <c r="AY38" s="347" t="str">
        <f>IF($S38="","",MCAin!$V54*$S38)</f>
        <v/>
      </c>
      <c r="AZ38" s="463" t="str">
        <f>IF($N38="","",MCAin!$W54*$N38)</f>
        <v/>
      </c>
      <c r="BA38" s="345" t="str">
        <f>IF($O38="","",MCAin!$W54*$O38)</f>
        <v/>
      </c>
      <c r="BB38" s="345" t="str">
        <f>IF($P38="","",MCAin!$W54*$P38)</f>
        <v/>
      </c>
      <c r="BC38" s="345" t="str">
        <f>IF($Q38="","",MCAin!$W54*$Q38)</f>
        <v/>
      </c>
      <c r="BD38" s="345" t="str">
        <f>IF($R38="","",MCAin!$W54*$R38)</f>
        <v/>
      </c>
      <c r="BE38" s="347" t="str">
        <f>IF($S38="","",MCAin!$W54*$S38)</f>
        <v/>
      </c>
      <c r="BF38" s="463" t="str">
        <f>IF($N38="","",MCAin!$X54*$N38)</f>
        <v/>
      </c>
      <c r="BG38" s="345" t="str">
        <f>IF($O38="","",MCAin!$X54*$O38)</f>
        <v/>
      </c>
      <c r="BH38" s="345" t="str">
        <f>IF($P38="","",MCAin!$X54*$P38)</f>
        <v/>
      </c>
      <c r="BI38" s="345" t="str">
        <f>IF($Q38="","",MCAin!$X54*$Q38)</f>
        <v/>
      </c>
      <c r="BJ38" s="345" t="str">
        <f>IF($R38="","",MCAin!$X54*$R38)</f>
        <v/>
      </c>
      <c r="BK38" s="347" t="str">
        <f>IF($S38="","",MCAin!$X54*$S38)</f>
        <v/>
      </c>
      <c r="BL38" s="463" t="str">
        <f>IF($N38="","",MCAin!$Y54*$N38)</f>
        <v/>
      </c>
      <c r="BM38" s="345" t="str">
        <f>IF($O38="","",MCAin!$Y54*$O38)</f>
        <v/>
      </c>
      <c r="BN38" s="345" t="str">
        <f>IF($P38="","",MCAin!$Y54*$P38)</f>
        <v/>
      </c>
      <c r="BO38" s="345" t="str">
        <f>IF($Q38="","",MCAin!$Y54*$Q38)</f>
        <v/>
      </c>
      <c r="BP38" s="345" t="str">
        <f>IF($R38="","",MCAin!$Y54*$R38)</f>
        <v/>
      </c>
      <c r="BQ38" s="347" t="str">
        <f>IF($S38="","",MCAin!$Y54*$S38)</f>
        <v/>
      </c>
      <c r="BR38" s="315"/>
      <c r="BS38" s="315"/>
      <c r="BT38" s="315"/>
      <c r="BU38" s="315"/>
      <c r="BV38" s="315"/>
      <c r="BW38" s="315"/>
      <c r="BX38" s="315"/>
      <c r="BY38" s="315"/>
      <c r="BZ38" s="315"/>
    </row>
    <row r="39" spans="1:78" ht="15" customHeight="1">
      <c r="A39" s="314"/>
      <c r="B39" s="110" t="str">
        <f>PTAout!D75</f>
        <v>Reliability</v>
      </c>
      <c r="C39" s="316"/>
      <c r="D39" s="234" t="str">
        <f>PTAout!H75</f>
        <v/>
      </c>
      <c r="E39" s="234" t="str">
        <f>PTAout!L75</f>
        <v/>
      </c>
      <c r="F39" s="234" t="str">
        <f>PTAout!Q75</f>
        <v/>
      </c>
      <c r="G39" s="234" t="str">
        <f>PTAout!V75</f>
        <v/>
      </c>
      <c r="H39" s="234" t="str">
        <f>PTAout!AA75</f>
        <v/>
      </c>
      <c r="I39" s="234" t="str">
        <f>PTAout!AF75</f>
        <v/>
      </c>
      <c r="J39" s="484" t="str">
        <f>IF(MCAin!O55="","",MCAin!O55)</f>
        <v/>
      </c>
      <c r="K39" s="484" t="str">
        <f>IF(MCAin!P55="","",MCAin!P55)</f>
        <v/>
      </c>
      <c r="L39" s="314"/>
      <c r="M39" s="534" t="str">
        <f>IF(AND(COUNTIF(D39:I39,"&gt;=0")=$D$1,J39&gt;=0,K39&gt;=0,MCAin!$Q55=""),1,"")</f>
        <v/>
      </c>
      <c r="N39" s="343" t="str">
        <f t="shared" si="4"/>
        <v/>
      </c>
      <c r="O39" s="343" t="str">
        <f t="shared" si="4"/>
        <v/>
      </c>
      <c r="P39" s="343" t="str">
        <f t="shared" si="4"/>
        <v/>
      </c>
      <c r="Q39" s="343" t="str">
        <f t="shared" si="4"/>
        <v/>
      </c>
      <c r="R39" s="343" t="str">
        <f t="shared" si="4"/>
        <v/>
      </c>
      <c r="S39" s="343" t="str">
        <f t="shared" si="4"/>
        <v/>
      </c>
      <c r="T39" s="343"/>
      <c r="U39" s="344"/>
      <c r="V39" s="463" t="str">
        <f>IF($N39="","",MCAin!$R55*$N39)</f>
        <v/>
      </c>
      <c r="W39" s="345" t="str">
        <f>IF($O39="","",MCAin!$R55*$O39)</f>
        <v/>
      </c>
      <c r="X39" s="345" t="str">
        <f>IF($P39="","",MCAin!$R55*$P39)</f>
        <v/>
      </c>
      <c r="Y39" s="345" t="str">
        <f>IF($Q39="","",MCAin!$R55*$Q39)</f>
        <v/>
      </c>
      <c r="Z39" s="345" t="str">
        <f>IF($R39="","",MCAin!$R55*$R39)</f>
        <v/>
      </c>
      <c r="AA39" s="347" t="str">
        <f>IF($S39="","",MCAin!$R55*$S39)</f>
        <v/>
      </c>
      <c r="AB39" s="463" t="str">
        <f>IF($N39="","",MCAin!$S55*$N39)</f>
        <v/>
      </c>
      <c r="AC39" s="345" t="str">
        <f>IF($O39="","",MCAin!$S55*$O39)</f>
        <v/>
      </c>
      <c r="AD39" s="345" t="str">
        <f>IF($P39="","",MCAin!$S55*$P39)</f>
        <v/>
      </c>
      <c r="AE39" s="345" t="str">
        <f>IF($Q39="","",MCAin!$R55*$Q39)</f>
        <v/>
      </c>
      <c r="AF39" s="345" t="str">
        <f>IF($R39="","",MCAin!$R55*$R39)</f>
        <v/>
      </c>
      <c r="AG39" s="347" t="str">
        <f>IF($S39="","",MCAin!$S55*$S39)</f>
        <v/>
      </c>
      <c r="AH39" s="463" t="str">
        <f>IF($N39="","",MCAin!$T55*$N39)</f>
        <v/>
      </c>
      <c r="AI39" s="345" t="str">
        <f>IF($O39="","",MCAin!$T55*$O39)</f>
        <v/>
      </c>
      <c r="AJ39" s="345" t="str">
        <f>IF($P39="","",MCAin!$T55*$P39)</f>
        <v/>
      </c>
      <c r="AK39" s="345" t="str">
        <f>IF($Q39="","",MCAin!$T55*$Q39)</f>
        <v/>
      </c>
      <c r="AL39" s="345" t="str">
        <f>IF($R39="","",MCAin!$R55*$R39)</f>
        <v/>
      </c>
      <c r="AM39" s="347" t="str">
        <f>IF($S39="","",MCAin!$S55*$S39)</f>
        <v/>
      </c>
      <c r="AN39" s="463" t="str">
        <f>IF($N39="","",MCAin!$U55*$N39)</f>
        <v/>
      </c>
      <c r="AO39" s="345" t="str">
        <f>IF($O39="","",MCAin!$U55*$O39)</f>
        <v/>
      </c>
      <c r="AP39" s="345" t="str">
        <f>IF($P39="","",MCAin!$U55*$P39)</f>
        <v/>
      </c>
      <c r="AQ39" s="345" t="str">
        <f>IF($Q39="","",MCAin!$U55*$Q39)</f>
        <v/>
      </c>
      <c r="AR39" s="345" t="str">
        <f>IF($R39="","",MCAin!$U55*$R39)</f>
        <v/>
      </c>
      <c r="AS39" s="347" t="str">
        <f>IF($S39="","",MCAin!$U55*$S39)</f>
        <v/>
      </c>
      <c r="AT39" s="463" t="str">
        <f>IF($N39="","",MCAin!$V55*$N39)</f>
        <v/>
      </c>
      <c r="AU39" s="345" t="str">
        <f>IF($O39="","",MCAin!$V55*$O39)</f>
        <v/>
      </c>
      <c r="AV39" s="345" t="str">
        <f>IF($P39="","",MCAin!$V55*$P39)</f>
        <v/>
      </c>
      <c r="AW39" s="345" t="str">
        <f>IF($Q39="","",MCAin!$V55*$Q39)</f>
        <v/>
      </c>
      <c r="AX39" s="345" t="str">
        <f>IF($R39="","",MCAin!$V55*$R39)</f>
        <v/>
      </c>
      <c r="AY39" s="347" t="str">
        <f>IF($S39="","",MCAin!$V55*$S39)</f>
        <v/>
      </c>
      <c r="AZ39" s="463" t="str">
        <f>IF($N39="","",MCAin!$W55*$N39)</f>
        <v/>
      </c>
      <c r="BA39" s="345" t="str">
        <f>IF($O39="","",MCAin!$W55*$O39)</f>
        <v/>
      </c>
      <c r="BB39" s="345" t="str">
        <f>IF($P39="","",MCAin!$W55*$P39)</f>
        <v/>
      </c>
      <c r="BC39" s="345" t="str">
        <f>IF($Q39="","",MCAin!$W55*$Q39)</f>
        <v/>
      </c>
      <c r="BD39" s="345" t="str">
        <f>IF($R39="","",MCAin!$W55*$R39)</f>
        <v/>
      </c>
      <c r="BE39" s="347" t="str">
        <f>IF($S39="","",MCAin!$W55*$S39)</f>
        <v/>
      </c>
      <c r="BF39" s="463" t="str">
        <f>IF($N39="","",MCAin!$X55*$N39)</f>
        <v/>
      </c>
      <c r="BG39" s="345" t="str">
        <f>IF($O39="","",MCAin!$X55*$O39)</f>
        <v/>
      </c>
      <c r="BH39" s="345" t="str">
        <f>IF($P39="","",MCAin!$X55*$P39)</f>
        <v/>
      </c>
      <c r="BI39" s="345" t="str">
        <f>IF($Q39="","",MCAin!$X55*$Q39)</f>
        <v/>
      </c>
      <c r="BJ39" s="345" t="str">
        <f>IF($R39="","",MCAin!$X55*$R39)</f>
        <v/>
      </c>
      <c r="BK39" s="347" t="str">
        <f>IF($S39="","",MCAin!$X55*$S39)</f>
        <v/>
      </c>
      <c r="BL39" s="463" t="str">
        <f>IF($N39="","",MCAin!$Y55*$N39)</f>
        <v/>
      </c>
      <c r="BM39" s="345" t="str">
        <f>IF($O39="","",MCAin!$Y55*$O39)</f>
        <v/>
      </c>
      <c r="BN39" s="345" t="str">
        <f>IF($P39="","",MCAin!$Y55*$P39)</f>
        <v/>
      </c>
      <c r="BO39" s="345" t="str">
        <f>IF($Q39="","",MCAin!$Y55*$Q39)</f>
        <v/>
      </c>
      <c r="BP39" s="345" t="str">
        <f>IF($R39="","",MCAin!$Y55*$R39)</f>
        <v/>
      </c>
      <c r="BQ39" s="347" t="str">
        <f>IF($S39="","",MCAin!$Y55*$S39)</f>
        <v/>
      </c>
      <c r="BR39" s="315"/>
      <c r="BS39" s="315"/>
      <c r="BT39" s="315"/>
      <c r="BU39" s="315"/>
      <c r="BV39" s="315"/>
      <c r="BW39" s="315"/>
      <c r="BX39" s="315"/>
      <c r="BY39" s="315"/>
      <c r="BZ39" s="315"/>
    </row>
    <row r="40" spans="1:78" ht="15" customHeight="1">
      <c r="A40" s="320"/>
      <c r="B40" s="118" t="str">
        <f>PTAout!D76</f>
        <v>Trip quality</v>
      </c>
      <c r="C40" s="321"/>
      <c r="D40" s="323" t="str">
        <f>PTAout!H76</f>
        <v/>
      </c>
      <c r="E40" s="323" t="str">
        <f>PTAout!L76</f>
        <v/>
      </c>
      <c r="F40" s="323" t="str">
        <f>PTAout!Q76</f>
        <v/>
      </c>
      <c r="G40" s="323" t="str">
        <f>PTAout!V76</f>
        <v/>
      </c>
      <c r="H40" s="323" t="str">
        <f>PTAout!AA76</f>
        <v/>
      </c>
      <c r="I40" s="323" t="str">
        <f>PTAout!AF76</f>
        <v/>
      </c>
      <c r="J40" s="489">
        <f>IF(MCAin!O56="","",MCAin!O56)</f>
        <v>0</v>
      </c>
      <c r="K40" s="489">
        <f>IF(MCAin!P56="","",MCAin!P56)</f>
        <v>100</v>
      </c>
      <c r="L40" s="314"/>
      <c r="M40" s="534" t="str">
        <f>IF(AND(COUNTIF(D40:I40,"&gt;=0")=$D$1,J40&gt;=0,K40&gt;=0,MCAin!$Q56=""),1,"")</f>
        <v/>
      </c>
      <c r="N40" s="492" t="str">
        <f t="shared" si="4"/>
        <v/>
      </c>
      <c r="O40" s="492" t="str">
        <f t="shared" si="4"/>
        <v/>
      </c>
      <c r="P40" s="492" t="str">
        <f t="shared" si="4"/>
        <v/>
      </c>
      <c r="Q40" s="492" t="str">
        <f t="shared" si="4"/>
        <v/>
      </c>
      <c r="R40" s="492" t="str">
        <f t="shared" si="4"/>
        <v/>
      </c>
      <c r="S40" s="492" t="str">
        <f t="shared" si="4"/>
        <v/>
      </c>
      <c r="T40" s="343"/>
      <c r="U40" s="344"/>
      <c r="V40" s="495" t="str">
        <f>IF($N40="","",MCAin!$R56*$N40)</f>
        <v/>
      </c>
      <c r="W40" s="496" t="str">
        <f>IF($O40="","",MCAin!$R56*$O40)</f>
        <v/>
      </c>
      <c r="X40" s="496" t="str">
        <f>IF($P40="","",MCAin!$R56*$P40)</f>
        <v/>
      </c>
      <c r="Y40" s="496" t="str">
        <f>IF($Q40="","",MCAin!$R56*$Q40)</f>
        <v/>
      </c>
      <c r="Z40" s="496" t="str">
        <f>IF($R40="","",MCAin!$R56*$R40)</f>
        <v/>
      </c>
      <c r="AA40" s="497" t="str">
        <f>IF($S40="","",MCAin!$R56*$S40)</f>
        <v/>
      </c>
      <c r="AB40" s="495" t="str">
        <f>IF($N40="","",MCAin!$S56*$N40)</f>
        <v/>
      </c>
      <c r="AC40" s="496" t="str">
        <f>IF($O40="","",MCAin!$S56*$O40)</f>
        <v/>
      </c>
      <c r="AD40" s="496" t="str">
        <f>IF($P40="","",MCAin!$S56*$P40)</f>
        <v/>
      </c>
      <c r="AE40" s="496" t="str">
        <f>IF($Q40="","",MCAin!$R56*$Q40)</f>
        <v/>
      </c>
      <c r="AF40" s="496" t="str">
        <f>IF($R40="","",MCAin!$R56*$R40)</f>
        <v/>
      </c>
      <c r="AG40" s="497" t="str">
        <f>IF($S40="","",MCAin!$S56*$S40)</f>
        <v/>
      </c>
      <c r="AH40" s="495" t="str">
        <f>IF($N40="","",MCAin!$T56*$N40)</f>
        <v/>
      </c>
      <c r="AI40" s="496" t="str">
        <f>IF($O40="","",MCAin!$T56*$O40)</f>
        <v/>
      </c>
      <c r="AJ40" s="496" t="str">
        <f>IF($P40="","",MCAin!$T56*$P40)</f>
        <v/>
      </c>
      <c r="AK40" s="496" t="str">
        <f>IF($Q40="","",MCAin!$T56*$Q40)</f>
        <v/>
      </c>
      <c r="AL40" s="496" t="str">
        <f>IF($R40="","",MCAin!$R56*$R40)</f>
        <v/>
      </c>
      <c r="AM40" s="497" t="str">
        <f>IF($S40="","",MCAin!$S56*$S40)</f>
        <v/>
      </c>
      <c r="AN40" s="495" t="str">
        <f>IF($N40="","",MCAin!$U56*$N40)</f>
        <v/>
      </c>
      <c r="AO40" s="496" t="str">
        <f>IF($O40="","",MCAin!$U56*$O40)</f>
        <v/>
      </c>
      <c r="AP40" s="496" t="str">
        <f>IF($P40="","",MCAin!$U56*$P40)</f>
        <v/>
      </c>
      <c r="AQ40" s="496" t="str">
        <f>IF($Q40="","",MCAin!$U56*$Q40)</f>
        <v/>
      </c>
      <c r="AR40" s="496" t="str">
        <f>IF($R40="","",MCAin!$U56*$R40)</f>
        <v/>
      </c>
      <c r="AS40" s="497" t="str">
        <f>IF($S40="","",MCAin!$U56*$S40)</f>
        <v/>
      </c>
      <c r="AT40" s="495" t="str">
        <f>IF($N40="","",MCAin!$V56*$N40)</f>
        <v/>
      </c>
      <c r="AU40" s="496" t="str">
        <f>IF($O40="","",MCAin!$V56*$O40)</f>
        <v/>
      </c>
      <c r="AV40" s="496" t="str">
        <f>IF($P40="","",MCAin!$V56*$P40)</f>
        <v/>
      </c>
      <c r="AW40" s="496" t="str">
        <f>IF($Q40="","",MCAin!$V56*$Q40)</f>
        <v/>
      </c>
      <c r="AX40" s="496" t="str">
        <f>IF($R40="","",MCAin!$V56*$R40)</f>
        <v/>
      </c>
      <c r="AY40" s="497" t="str">
        <f>IF($S40="","",MCAin!$V56*$S40)</f>
        <v/>
      </c>
      <c r="AZ40" s="495" t="str">
        <f>IF($N40="","",MCAin!$W56*$N40)</f>
        <v/>
      </c>
      <c r="BA40" s="496" t="str">
        <f>IF($O40="","",MCAin!$W56*$O40)</f>
        <v/>
      </c>
      <c r="BB40" s="496" t="str">
        <f>IF($P40="","",MCAin!$W56*$P40)</f>
        <v/>
      </c>
      <c r="BC40" s="496" t="str">
        <f>IF($Q40="","",MCAin!$W56*$Q40)</f>
        <v/>
      </c>
      <c r="BD40" s="496" t="str">
        <f>IF($R40="","",MCAin!$W56*$R40)</f>
        <v/>
      </c>
      <c r="BE40" s="497" t="str">
        <f>IF($S40="","",MCAin!$W56*$S40)</f>
        <v/>
      </c>
      <c r="BF40" s="495" t="str">
        <f>IF($N40="","",MCAin!$X56*$N40)</f>
        <v/>
      </c>
      <c r="BG40" s="496" t="str">
        <f>IF($O40="","",MCAin!$X56*$O40)</f>
        <v/>
      </c>
      <c r="BH40" s="496" t="str">
        <f>IF($P40="","",MCAin!$X56*$P40)</f>
        <v/>
      </c>
      <c r="BI40" s="496" t="str">
        <f>IF($Q40="","",MCAin!$X56*$Q40)</f>
        <v/>
      </c>
      <c r="BJ40" s="496" t="str">
        <f>IF($R40="","",MCAin!$X56*$R40)</f>
        <v/>
      </c>
      <c r="BK40" s="497" t="str">
        <f>IF($S40="","",MCAin!$X56*$S40)</f>
        <v/>
      </c>
      <c r="BL40" s="495" t="str">
        <f>IF($N40="","",MCAin!$Y56*$N40)</f>
        <v/>
      </c>
      <c r="BM40" s="496" t="str">
        <f>IF($O40="","",MCAin!$Y56*$O40)</f>
        <v/>
      </c>
      <c r="BN40" s="496" t="str">
        <f>IF($P40="","",MCAin!$Y56*$P40)</f>
        <v/>
      </c>
      <c r="BO40" s="496" t="str">
        <f>IF($Q40="","",MCAin!$Y56*$Q40)</f>
        <v/>
      </c>
      <c r="BP40" s="496" t="str">
        <f>IF($R40="","",MCAin!$Y56*$R40)</f>
        <v/>
      </c>
      <c r="BQ40" s="497" t="str">
        <f>IF($S40="","",MCAin!$Y56*$S40)</f>
        <v/>
      </c>
      <c r="BR40" s="315"/>
      <c r="BS40" s="315"/>
      <c r="BT40" s="315"/>
      <c r="BU40" s="315"/>
      <c r="BV40" s="315"/>
      <c r="BW40" s="315"/>
      <c r="BX40" s="315"/>
      <c r="BY40" s="315"/>
      <c r="BZ40" s="315"/>
    </row>
    <row r="41" spans="1:78" ht="15" customHeight="1">
      <c r="A41" s="498" t="str">
        <f>PTAout!C77</f>
        <v>Cars/taxis</v>
      </c>
      <c r="B41" s="499"/>
      <c r="C41" s="500"/>
      <c r="D41" s="501"/>
      <c r="E41" s="501"/>
      <c r="F41" s="501"/>
      <c r="G41" s="501"/>
      <c r="H41" s="501"/>
      <c r="I41" s="501"/>
      <c r="J41" s="502"/>
      <c r="K41" s="502"/>
      <c r="L41" s="503"/>
      <c r="M41" s="504"/>
      <c r="N41" s="504"/>
      <c r="O41" s="504"/>
      <c r="P41" s="504"/>
      <c r="Q41" s="504"/>
      <c r="R41" s="504"/>
      <c r="S41" s="504"/>
      <c r="T41" s="504"/>
      <c r="U41" s="504"/>
      <c r="V41" s="507" t="str">
        <f>IF($N41="","",$N41*MCAin!$R57)</f>
        <v/>
      </c>
      <c r="W41" s="508"/>
      <c r="X41" s="508" t="str">
        <f>IF($O41="","",$O41*MCAin!$R57)</f>
        <v/>
      </c>
      <c r="Y41" s="508" t="str">
        <f>IF($P41="","",$P41*MCAin!$R57)</f>
        <v/>
      </c>
      <c r="Z41" s="508" t="str">
        <f>IF($Q41="","",$Q41*MCAin!$R57)</f>
        <v/>
      </c>
      <c r="AA41" s="509" t="str">
        <f>IF($S41="","",$S41*MCAin!$R57)</f>
        <v/>
      </c>
      <c r="AB41" s="507" t="str">
        <f>IF($N41="","",$N41*MCAin!$S57)</f>
        <v/>
      </c>
      <c r="AC41" s="508"/>
      <c r="AD41" s="508" t="str">
        <f>IF($O41="","",$O41*MCAin!$S57)</f>
        <v/>
      </c>
      <c r="AE41" s="508" t="str">
        <f>IF($P41="","",$P41*MCAin!$R57)</f>
        <v/>
      </c>
      <c r="AF41" s="508" t="str">
        <f>IF($Q41="","",$Q41*MCAin!$R57)</f>
        <v/>
      </c>
      <c r="AG41" s="509" t="str">
        <f>IF($S41="","",$S41*MCAin!$S57)</f>
        <v/>
      </c>
      <c r="AH41" s="507" t="str">
        <f>IF($N41="","",$N41*MCAin!$T57)</f>
        <v/>
      </c>
      <c r="AI41" s="508"/>
      <c r="AJ41" s="508" t="str">
        <f>IF($O41="","",$O41*MCAin!$T57)</f>
        <v/>
      </c>
      <c r="AK41" s="508" t="str">
        <f>IF($P41="","",$P41*MCAin!$T57)</f>
        <v/>
      </c>
      <c r="AL41" s="508" t="str">
        <f>IF($Q41="","",$Q41*MCAin!$R57)</f>
        <v/>
      </c>
      <c r="AM41" s="509" t="str">
        <f>IF($S41="","",$S41*MCAin!$S57)</f>
        <v/>
      </c>
      <c r="AN41" s="507" t="str">
        <f>IF($N41="","",$N41*MCAin!$U57)</f>
        <v/>
      </c>
      <c r="AO41" s="508"/>
      <c r="AP41" s="508" t="str">
        <f>IF($O41="","",$O41*MCAin!$U57)</f>
        <v/>
      </c>
      <c r="AQ41" s="508" t="str">
        <f>IF($P41="","",$P41*MCAin!$U57)</f>
        <v/>
      </c>
      <c r="AR41" s="508" t="str">
        <f>IF($Q41="","",$Q41*MCAin!$S57)</f>
        <v/>
      </c>
      <c r="AS41" s="509" t="str">
        <f>IF($U41="","",$U41*MCAin!$T57)</f>
        <v/>
      </c>
      <c r="AT41" s="507" t="str">
        <f>IF($N41="","",$N41*MCAin!$V57)</f>
        <v/>
      </c>
      <c r="AU41" s="508"/>
      <c r="AV41" s="508" t="str">
        <f>IF($O41="","",$O41*MCAin!$V57)</f>
        <v/>
      </c>
      <c r="AW41" s="508" t="str">
        <f>IF($P41="","",$P41*MCAin!$V57)</f>
        <v/>
      </c>
      <c r="AX41" s="508" t="str">
        <f>IF($Q41="","",$Q41*MCAin!$V57)</f>
        <v/>
      </c>
      <c r="AY41" s="509" t="str">
        <f>IF($S41="","",$W41*MCAin!$V57)</f>
        <v/>
      </c>
      <c r="AZ41" s="507" t="str">
        <f>IF($N41="","",$N41*MCAin!$W57)</f>
        <v/>
      </c>
      <c r="BA41" s="508"/>
      <c r="BB41" s="508" t="str">
        <f>IF($O41="","",$O41*MCAin!$W57)</f>
        <v/>
      </c>
      <c r="BC41" s="508" t="str">
        <f>IF($P41="","",$P41*MCAin!$W57)</f>
        <v/>
      </c>
      <c r="BD41" s="508" t="str">
        <f>IF($Q41="","",$Q41*MCAin!$W57)</f>
        <v/>
      </c>
      <c r="BE41" s="509" t="str">
        <f>IF($X41="","",$X41*MCAin!$W57)</f>
        <v/>
      </c>
      <c r="BF41" s="507" t="str">
        <f>IF($N41="","",$N41*MCAin!$X57)</f>
        <v/>
      </c>
      <c r="BG41" s="508"/>
      <c r="BH41" s="508" t="str">
        <f>IF($O41="","",$O41*MCAin!$X57)</f>
        <v/>
      </c>
      <c r="BI41" s="508" t="str">
        <f>IF($P41="","",$P41*MCAin!$X57)</f>
        <v/>
      </c>
      <c r="BJ41" s="508" t="str">
        <f>IF($Q41="","",$Q41*MCAin!$X57)</f>
        <v/>
      </c>
      <c r="BK41" s="509" t="str">
        <f>IF($Y41="","",$Y41*MCAin!$X57)</f>
        <v/>
      </c>
      <c r="BL41" s="507" t="str">
        <f>IF($N41="","",$N41*MCAin!$Y57)</f>
        <v/>
      </c>
      <c r="BM41" s="508"/>
      <c r="BN41" s="508" t="str">
        <f>IF($O41="","",$O41*MCAin!$Y57)</f>
        <v/>
      </c>
      <c r="BO41" s="508" t="str">
        <f>IF($P41="","",$P41*MCAin!$Y57)</f>
        <v/>
      </c>
      <c r="BP41" s="508" t="str">
        <f>IF($Q41="","",$Q41*MCAin!$Y57)</f>
        <v/>
      </c>
      <c r="BQ41" s="509" t="str">
        <f>IF($Z41="","",$Z41*MCAin!$Y57)</f>
        <v/>
      </c>
      <c r="BR41" s="315"/>
      <c r="BS41" s="315"/>
      <c r="BT41" s="315"/>
      <c r="BU41" s="315"/>
      <c r="BV41" s="315"/>
      <c r="BW41" s="315"/>
      <c r="BX41" s="315"/>
      <c r="BY41" s="315"/>
      <c r="BZ41" s="315"/>
    </row>
    <row r="42" spans="1:78" ht="15" customHeight="1">
      <c r="A42" s="314"/>
      <c r="B42" s="110" t="str">
        <f>PTAout!D78</f>
        <v>Space</v>
      </c>
      <c r="C42" s="316"/>
      <c r="D42" s="318" t="str">
        <f>PTAout!H78</f>
        <v/>
      </c>
      <c r="E42" s="318" t="str">
        <f>PTAout!L78</f>
        <v/>
      </c>
      <c r="F42" s="318" t="str">
        <f>PTAout!Q78</f>
        <v/>
      </c>
      <c r="G42" s="318" t="str">
        <f>PTAout!V78</f>
        <v/>
      </c>
      <c r="H42" s="318" t="str">
        <f>PTAout!AA78</f>
        <v/>
      </c>
      <c r="I42" s="318" t="str">
        <f>PTAout!AF78</f>
        <v/>
      </c>
      <c r="J42" s="484">
        <f>IF(MCAin!O58="","",MCAin!O58)</f>
        <v>0</v>
      </c>
      <c r="K42" s="484">
        <f>IF(MCAin!P58="","",MCAin!P58)</f>
        <v>20</v>
      </c>
      <c r="L42" s="314"/>
      <c r="M42" s="534" t="str">
        <f>IF(AND(COUNTIF(D42:I42,"&gt;=0")=$D$1,J42&gt;=0,K42&gt;=0,MCAin!$Q58=""),1,"")</f>
        <v/>
      </c>
      <c r="N42" s="343" t="str">
        <f t="shared" ref="N42:S48" si="5">IF(OR($M42&lt;&gt;1,D42=""),"",(D42-$J42)/($K42-$J42))</f>
        <v/>
      </c>
      <c r="O42" s="343" t="str">
        <f t="shared" si="5"/>
        <v/>
      </c>
      <c r="P42" s="343" t="str">
        <f t="shared" si="5"/>
        <v/>
      </c>
      <c r="Q42" s="343" t="str">
        <f t="shared" si="5"/>
        <v/>
      </c>
      <c r="R42" s="343" t="str">
        <f t="shared" si="5"/>
        <v/>
      </c>
      <c r="S42" s="343" t="str">
        <f t="shared" si="5"/>
        <v/>
      </c>
      <c r="T42" s="343"/>
      <c r="U42" s="344"/>
      <c r="V42" s="463" t="str">
        <f>IF($N42="","",MCAin!$R58*$N42)</f>
        <v/>
      </c>
      <c r="W42" s="345" t="str">
        <f>IF($O42="","",MCAin!$R58*$O42)</f>
        <v/>
      </c>
      <c r="X42" s="345" t="str">
        <f>IF($P42="","",MCAin!$R58*$P42)</f>
        <v/>
      </c>
      <c r="Y42" s="345" t="str">
        <f>IF($Q42="","",MCAin!$R58*$Q42)</f>
        <v/>
      </c>
      <c r="Z42" s="345" t="str">
        <f>IF($R42="","",MCAin!$R58*$R42)</f>
        <v/>
      </c>
      <c r="AA42" s="347" t="str">
        <f>IF($S42="","",MCAin!$R58*$S42)</f>
        <v/>
      </c>
      <c r="AB42" s="463" t="str">
        <f>IF($N42="","",MCAin!$S58*$N42)</f>
        <v/>
      </c>
      <c r="AC42" s="345" t="str">
        <f>IF($O42="","",MCAin!$S58*$O42)</f>
        <v/>
      </c>
      <c r="AD42" s="345" t="str">
        <f>IF($P42="","",MCAin!$S58*$P42)</f>
        <v/>
      </c>
      <c r="AE42" s="345" t="str">
        <f>IF($Q42="","",MCAin!$R58*$Q42)</f>
        <v/>
      </c>
      <c r="AF42" s="345" t="str">
        <f>IF($R42="","",MCAin!$R58*$R42)</f>
        <v/>
      </c>
      <c r="AG42" s="347" t="str">
        <f>IF($S42="","",MCAin!$S58*$S42)</f>
        <v/>
      </c>
      <c r="AH42" s="463" t="str">
        <f>IF($N42="","",MCAin!$T58*$N42)</f>
        <v/>
      </c>
      <c r="AI42" s="345" t="str">
        <f>IF($O42="","",MCAin!$T58*$O42)</f>
        <v/>
      </c>
      <c r="AJ42" s="345" t="str">
        <f>IF($P42="","",MCAin!$T58*$P42)</f>
        <v/>
      </c>
      <c r="AK42" s="345" t="str">
        <f>IF($Q42="","",MCAin!$T58*$Q42)</f>
        <v/>
      </c>
      <c r="AL42" s="345" t="str">
        <f>IF($R42="","",MCAin!$R58*$R42)</f>
        <v/>
      </c>
      <c r="AM42" s="347" t="str">
        <f>IF($S42="","",MCAin!$S58*$S42)</f>
        <v/>
      </c>
      <c r="AN42" s="463" t="str">
        <f>IF($N42="","",MCAin!$U58*$N42)</f>
        <v/>
      </c>
      <c r="AO42" s="345" t="str">
        <f>IF($O42="","",MCAin!$U58*$O42)</f>
        <v/>
      </c>
      <c r="AP42" s="345" t="str">
        <f>IF($P42="","",MCAin!$U58*$P42)</f>
        <v/>
      </c>
      <c r="AQ42" s="345" t="str">
        <f>IF($Q42="","",MCAin!$U58*$Q42)</f>
        <v/>
      </c>
      <c r="AR42" s="345" t="str">
        <f>IF($R42="","",MCAin!$U58*$R42)</f>
        <v/>
      </c>
      <c r="AS42" s="347" t="str">
        <f>IF($S42="","",MCAin!$U58*$S42)</f>
        <v/>
      </c>
      <c r="AT42" s="463" t="str">
        <f>IF($N42="","",MCAin!$V58*$N42)</f>
        <v/>
      </c>
      <c r="AU42" s="345" t="str">
        <f>IF($O42="","",MCAin!$V58*$O42)</f>
        <v/>
      </c>
      <c r="AV42" s="345" t="str">
        <f>IF($P42="","",MCAin!$V58*$P42)</f>
        <v/>
      </c>
      <c r="AW42" s="345" t="str">
        <f>IF($Q42="","",MCAin!$V58*$Q42)</f>
        <v/>
      </c>
      <c r="AX42" s="345" t="str">
        <f>IF($R42="","",MCAin!$V58*$R42)</f>
        <v/>
      </c>
      <c r="AY42" s="347" t="str">
        <f>IF($S42="","",MCAin!$V58*$S42)</f>
        <v/>
      </c>
      <c r="AZ42" s="463" t="str">
        <f>IF($N42="","",MCAin!$W58*$N42)</f>
        <v/>
      </c>
      <c r="BA42" s="345" t="str">
        <f>IF($O42="","",MCAin!$W58*$O42)</f>
        <v/>
      </c>
      <c r="BB42" s="345" t="str">
        <f>IF($P42="","",MCAin!$W58*$P42)</f>
        <v/>
      </c>
      <c r="BC42" s="345" t="str">
        <f>IF($Q42="","",MCAin!$W58*$Q42)</f>
        <v/>
      </c>
      <c r="BD42" s="345" t="str">
        <f>IF($R42="","",MCAin!$W58*$R42)</f>
        <v/>
      </c>
      <c r="BE42" s="347" t="str">
        <f>IF($S42="","",MCAin!$W58*$S42)</f>
        <v/>
      </c>
      <c r="BF42" s="463" t="str">
        <f>IF($N42="","",MCAin!$X58*$N42)</f>
        <v/>
      </c>
      <c r="BG42" s="345" t="str">
        <f>IF($O42="","",MCAin!$X58*$O42)</f>
        <v/>
      </c>
      <c r="BH42" s="345" t="str">
        <f>IF($P42="","",MCAin!$X58*$P42)</f>
        <v/>
      </c>
      <c r="BI42" s="345" t="str">
        <f>IF($Q42="","",MCAin!$X58*$Q42)</f>
        <v/>
      </c>
      <c r="BJ42" s="345" t="str">
        <f>IF($R42="","",MCAin!$X58*$R42)</f>
        <v/>
      </c>
      <c r="BK42" s="347" t="str">
        <f>IF($S42="","",MCAin!$X58*$S42)</f>
        <v/>
      </c>
      <c r="BL42" s="463" t="str">
        <f>IF($N42="","",MCAin!$Y58*$N42)</f>
        <v/>
      </c>
      <c r="BM42" s="345" t="str">
        <f>IF($O42="","",MCAin!$Y58*$O42)</f>
        <v/>
      </c>
      <c r="BN42" s="345" t="str">
        <f>IF($P42="","",MCAin!$Y58*$P42)</f>
        <v/>
      </c>
      <c r="BO42" s="345" t="str">
        <f>IF($Q42="","",MCAin!$Y58*$Q42)</f>
        <v/>
      </c>
      <c r="BP42" s="345" t="str">
        <f>IF($R42="","",MCAin!$Y58*$R42)</f>
        <v/>
      </c>
      <c r="BQ42" s="347" t="str">
        <f>IF($S42="","",MCAin!$Y58*$S42)</f>
        <v/>
      </c>
      <c r="BR42" s="315"/>
      <c r="BS42" s="315"/>
      <c r="BT42" s="315"/>
      <c r="BU42" s="315"/>
      <c r="BV42" s="315"/>
      <c r="BW42" s="315"/>
      <c r="BX42" s="315"/>
      <c r="BY42" s="315"/>
      <c r="BZ42" s="315"/>
    </row>
    <row r="43" spans="1:78" ht="15" customHeight="1">
      <c r="A43" s="314"/>
      <c r="B43" s="110" t="str">
        <f>PTAout!D79</f>
        <v>Volume</v>
      </c>
      <c r="C43" s="316"/>
      <c r="D43" s="318" t="str">
        <f>PTAout!H79</f>
        <v/>
      </c>
      <c r="E43" s="318" t="str">
        <f>PTAout!L79</f>
        <v/>
      </c>
      <c r="F43" s="318" t="str">
        <f>PTAout!Q79</f>
        <v/>
      </c>
      <c r="G43" s="318" t="str">
        <f>PTAout!V79</f>
        <v/>
      </c>
      <c r="H43" s="318" t="str">
        <f>PTAout!AA79</f>
        <v/>
      </c>
      <c r="I43" s="318" t="str">
        <f>PTAout!AF79</f>
        <v/>
      </c>
      <c r="J43" s="484">
        <f>IF(MCAin!O59="","",MCAin!O59)</f>
        <v>0</v>
      </c>
      <c r="K43" s="484">
        <f>IF(MCAin!P59="","",MCAin!P59)</f>
        <v>100000</v>
      </c>
      <c r="L43" s="314"/>
      <c r="M43" s="534" t="str">
        <f>IF(AND(COUNTIF(D43:I43,"&gt;=0")=$D$1,J43&gt;=0,K43&gt;=0,MCAin!$Q59=""),1,"")</f>
        <v/>
      </c>
      <c r="N43" s="343" t="str">
        <f t="shared" si="5"/>
        <v/>
      </c>
      <c r="O43" s="343" t="str">
        <f t="shared" si="5"/>
        <v/>
      </c>
      <c r="P43" s="343" t="str">
        <f t="shared" si="5"/>
        <v/>
      </c>
      <c r="Q43" s="343" t="str">
        <f t="shared" si="5"/>
        <v/>
      </c>
      <c r="R43" s="343" t="str">
        <f t="shared" si="5"/>
        <v/>
      </c>
      <c r="S43" s="343" t="str">
        <f t="shared" si="5"/>
        <v/>
      </c>
      <c r="T43" s="343"/>
      <c r="U43" s="344"/>
      <c r="V43" s="463" t="str">
        <f>IF($N43="","",MCAin!$R59*$N43)</f>
        <v/>
      </c>
      <c r="W43" s="345" t="str">
        <f>IF($O43="","",MCAin!$R59*$O43)</f>
        <v/>
      </c>
      <c r="X43" s="345" t="str">
        <f>IF($P43="","",MCAin!$R59*$P43)</f>
        <v/>
      </c>
      <c r="Y43" s="345" t="str">
        <f>IF($Q43="","",MCAin!$R59*$Q43)</f>
        <v/>
      </c>
      <c r="Z43" s="345" t="str">
        <f>IF($R43="","",MCAin!$R59*$R43)</f>
        <v/>
      </c>
      <c r="AA43" s="347" t="str">
        <f>IF($S43="","",MCAin!$R59*$S43)</f>
        <v/>
      </c>
      <c r="AB43" s="463" t="str">
        <f>IF($N43="","",MCAin!$S59*$N43)</f>
        <v/>
      </c>
      <c r="AC43" s="345" t="str">
        <f>IF($O43="","",MCAin!$S59*$O43)</f>
        <v/>
      </c>
      <c r="AD43" s="345" t="str">
        <f>IF($P43="","",MCAin!$S59*$P43)</f>
        <v/>
      </c>
      <c r="AE43" s="345" t="str">
        <f>IF($Q43="","",MCAin!$R59*$Q43)</f>
        <v/>
      </c>
      <c r="AF43" s="345" t="str">
        <f>IF($R43="","",MCAin!$R59*$R43)</f>
        <v/>
      </c>
      <c r="AG43" s="347" t="str">
        <f>IF($S43="","",MCAin!$S59*$S43)</f>
        <v/>
      </c>
      <c r="AH43" s="463" t="str">
        <f>IF($N43="","",MCAin!$T59*$N43)</f>
        <v/>
      </c>
      <c r="AI43" s="345" t="str">
        <f>IF($O43="","",MCAin!$T59*$O43)</f>
        <v/>
      </c>
      <c r="AJ43" s="345" t="str">
        <f>IF($P43="","",MCAin!$T59*$P43)</f>
        <v/>
      </c>
      <c r="AK43" s="345" t="str">
        <f>IF($Q43="","",MCAin!$T59*$Q43)</f>
        <v/>
      </c>
      <c r="AL43" s="345" t="str">
        <f>IF($R43="","",MCAin!$R59*$R43)</f>
        <v/>
      </c>
      <c r="AM43" s="347" t="str">
        <f>IF($S43="","",MCAin!$S59*$S43)</f>
        <v/>
      </c>
      <c r="AN43" s="463" t="str">
        <f>IF($N43="","",MCAin!$U59*$N43)</f>
        <v/>
      </c>
      <c r="AO43" s="345" t="str">
        <f>IF($O43="","",MCAin!$U59*$O43)</f>
        <v/>
      </c>
      <c r="AP43" s="345" t="str">
        <f>IF($P43="","",MCAin!$U59*$P43)</f>
        <v/>
      </c>
      <c r="AQ43" s="345" t="str">
        <f>IF($Q43="","",MCAin!$U59*$Q43)</f>
        <v/>
      </c>
      <c r="AR43" s="345" t="str">
        <f>IF($R43="","",MCAin!$U59*$R43)</f>
        <v/>
      </c>
      <c r="AS43" s="347" t="str">
        <f>IF($S43="","",MCAin!$U59*$S43)</f>
        <v/>
      </c>
      <c r="AT43" s="463" t="str">
        <f>IF($N43="","",MCAin!$V59*$N43)</f>
        <v/>
      </c>
      <c r="AU43" s="345" t="str">
        <f>IF($O43="","",MCAin!$V59*$O43)</f>
        <v/>
      </c>
      <c r="AV43" s="345" t="str">
        <f>IF($P43="","",MCAin!$V59*$P43)</f>
        <v/>
      </c>
      <c r="AW43" s="345" t="str">
        <f>IF($Q43="","",MCAin!$V59*$Q43)</f>
        <v/>
      </c>
      <c r="AX43" s="345" t="str">
        <f>IF($R43="","",MCAin!$V59*$R43)</f>
        <v/>
      </c>
      <c r="AY43" s="347" t="str">
        <f>IF($S43="","",MCAin!$V59*$S43)</f>
        <v/>
      </c>
      <c r="AZ43" s="463" t="str">
        <f>IF($N43="","",MCAin!$W59*$N43)</f>
        <v/>
      </c>
      <c r="BA43" s="345" t="str">
        <f>IF($O43="","",MCAin!$W59*$O43)</f>
        <v/>
      </c>
      <c r="BB43" s="345" t="str">
        <f>IF($P43="","",MCAin!$W59*$P43)</f>
        <v/>
      </c>
      <c r="BC43" s="345" t="str">
        <f>IF($Q43="","",MCAin!$W59*$Q43)</f>
        <v/>
      </c>
      <c r="BD43" s="345" t="str">
        <f>IF($R43="","",MCAin!$W59*$R43)</f>
        <v/>
      </c>
      <c r="BE43" s="347" t="str">
        <f>IF($S43="","",MCAin!$W59*$S43)</f>
        <v/>
      </c>
      <c r="BF43" s="463" t="str">
        <f>IF($N43="","",MCAin!$X59*$N43)</f>
        <v/>
      </c>
      <c r="BG43" s="345" t="str">
        <f>IF($O43="","",MCAin!$X59*$O43)</f>
        <v/>
      </c>
      <c r="BH43" s="345" t="str">
        <f>IF($P43="","",MCAin!$X59*$P43)</f>
        <v/>
      </c>
      <c r="BI43" s="345" t="str">
        <f>IF($Q43="","",MCAin!$X59*$Q43)</f>
        <v/>
      </c>
      <c r="BJ43" s="345" t="str">
        <f>IF($R43="","",MCAin!$X59*$R43)</f>
        <v/>
      </c>
      <c r="BK43" s="347" t="str">
        <f>IF($S43="","",MCAin!$X59*$S43)</f>
        <v/>
      </c>
      <c r="BL43" s="463" t="str">
        <f>IF($N43="","",MCAin!$Y59*$N43)</f>
        <v/>
      </c>
      <c r="BM43" s="345" t="str">
        <f>IF($O43="","",MCAin!$Y59*$O43)</f>
        <v/>
      </c>
      <c r="BN43" s="345" t="str">
        <f>IF($P43="","",MCAin!$Y59*$P43)</f>
        <v/>
      </c>
      <c r="BO43" s="345" t="str">
        <f>IF($Q43="","",MCAin!$Y59*$Q43)</f>
        <v/>
      </c>
      <c r="BP43" s="345" t="str">
        <f>IF($R43="","",MCAin!$Y59*$R43)</f>
        <v/>
      </c>
      <c r="BQ43" s="347" t="str">
        <f>IF($S43="","",MCAin!$Y59*$S43)</f>
        <v/>
      </c>
      <c r="BR43" s="315"/>
      <c r="BS43" s="315"/>
      <c r="BT43" s="315"/>
      <c r="BU43" s="315"/>
      <c r="BV43" s="315"/>
      <c r="BW43" s="315"/>
      <c r="BX43" s="315"/>
      <c r="BY43" s="315"/>
      <c r="BZ43" s="315"/>
    </row>
    <row r="44" spans="1:78" ht="15" customHeight="1">
      <c r="A44" s="314"/>
      <c r="B44" s="110" t="str">
        <f>PTAout!D80</f>
        <v>Speed</v>
      </c>
      <c r="C44" s="316"/>
      <c r="D44" s="234" t="str">
        <f>PTAout!H80</f>
        <v/>
      </c>
      <c r="E44" s="234" t="str">
        <f>PTAout!L80</f>
        <v/>
      </c>
      <c r="F44" s="234" t="str">
        <f>PTAout!Q80</f>
        <v/>
      </c>
      <c r="G44" s="234" t="str">
        <f>PTAout!V80</f>
        <v/>
      </c>
      <c r="H44" s="234" t="str">
        <f>PTAout!AA80</f>
        <v/>
      </c>
      <c r="I44" s="234" t="str">
        <f>PTAout!AF80</f>
        <v/>
      </c>
      <c r="J44" s="484">
        <f>IF(MCAin!O60="","",MCAin!O60)</f>
        <v>5</v>
      </c>
      <c r="K44" s="484">
        <f>IF(MCAin!P60="","",MCAin!P60)</f>
        <v>60</v>
      </c>
      <c r="L44" s="314"/>
      <c r="M44" s="534" t="str">
        <f>IF(AND(COUNTIF(D44:I44,"&gt;=0")=$D$1,J44&gt;=0,K44&gt;=0,MCAin!$Q60=""),1,"")</f>
        <v/>
      </c>
      <c r="N44" s="343" t="str">
        <f t="shared" si="5"/>
        <v/>
      </c>
      <c r="O44" s="343" t="str">
        <f t="shared" si="5"/>
        <v/>
      </c>
      <c r="P44" s="343" t="str">
        <f t="shared" si="5"/>
        <v/>
      </c>
      <c r="Q44" s="343" t="str">
        <f t="shared" si="5"/>
        <v/>
      </c>
      <c r="R44" s="343" t="str">
        <f t="shared" si="5"/>
        <v/>
      </c>
      <c r="S44" s="343" t="str">
        <f t="shared" si="5"/>
        <v/>
      </c>
      <c r="T44" s="343"/>
      <c r="U44" s="344"/>
      <c r="V44" s="463" t="str">
        <f>IF($N44="","",MCAin!$R60*$N44)</f>
        <v/>
      </c>
      <c r="W44" s="345" t="str">
        <f>IF($O44="","",MCAin!$R60*$O44)</f>
        <v/>
      </c>
      <c r="X44" s="345" t="str">
        <f>IF($P44="","",MCAin!$R60*$P44)</f>
        <v/>
      </c>
      <c r="Y44" s="345" t="str">
        <f>IF($Q44="","",MCAin!$R60*$Q44)</f>
        <v/>
      </c>
      <c r="Z44" s="345" t="str">
        <f>IF($R44="","",MCAin!$R60*$R44)</f>
        <v/>
      </c>
      <c r="AA44" s="347" t="str">
        <f>IF($S44="","",MCAin!$R60*$S44)</f>
        <v/>
      </c>
      <c r="AB44" s="463" t="str">
        <f>IF($N44="","",MCAin!$S60*$N44)</f>
        <v/>
      </c>
      <c r="AC44" s="345" t="str">
        <f>IF($O44="","",MCAin!$S60*$O44)</f>
        <v/>
      </c>
      <c r="AD44" s="345" t="str">
        <f>IF($P44="","",MCAin!$S60*$P44)</f>
        <v/>
      </c>
      <c r="AE44" s="345" t="str">
        <f>IF($Q44="","",MCAin!$R60*$Q44)</f>
        <v/>
      </c>
      <c r="AF44" s="345" t="str">
        <f>IF($R44="","",MCAin!$R60*$R44)</f>
        <v/>
      </c>
      <c r="AG44" s="347" t="str">
        <f>IF($S44="","",MCAin!$S60*$S44)</f>
        <v/>
      </c>
      <c r="AH44" s="463" t="str">
        <f>IF($N44="","",MCAin!$T60*$N44)</f>
        <v/>
      </c>
      <c r="AI44" s="345" t="str">
        <f>IF($O44="","",MCAin!$T60*$O44)</f>
        <v/>
      </c>
      <c r="AJ44" s="345" t="str">
        <f>IF($P44="","",MCAin!$T60*$P44)</f>
        <v/>
      </c>
      <c r="AK44" s="345" t="str">
        <f>IF($Q44="","",MCAin!$T60*$Q44)</f>
        <v/>
      </c>
      <c r="AL44" s="345" t="str">
        <f>IF($R44="","",MCAin!$R60*$R44)</f>
        <v/>
      </c>
      <c r="AM44" s="347" t="str">
        <f>IF($S44="","",MCAin!$S60*$S44)</f>
        <v/>
      </c>
      <c r="AN44" s="463" t="str">
        <f>IF($N44="","",MCAin!$U60*$N44)</f>
        <v/>
      </c>
      <c r="AO44" s="345" t="str">
        <f>IF($O44="","",MCAin!$U60*$O44)</f>
        <v/>
      </c>
      <c r="AP44" s="345" t="str">
        <f>IF($P44="","",MCAin!$U60*$P44)</f>
        <v/>
      </c>
      <c r="AQ44" s="345" t="str">
        <f>IF($Q44="","",MCAin!$U60*$Q44)</f>
        <v/>
      </c>
      <c r="AR44" s="345" t="str">
        <f>IF($R44="","",MCAin!$U60*$R44)</f>
        <v/>
      </c>
      <c r="AS44" s="347" t="str">
        <f>IF($S44="","",MCAin!$U60*$S44)</f>
        <v/>
      </c>
      <c r="AT44" s="463" t="str">
        <f>IF($N44="","",MCAin!$V60*$N44)</f>
        <v/>
      </c>
      <c r="AU44" s="345" t="str">
        <f>IF($O44="","",MCAin!$V60*$O44)</f>
        <v/>
      </c>
      <c r="AV44" s="345" t="str">
        <f>IF($P44="","",MCAin!$V60*$P44)</f>
        <v/>
      </c>
      <c r="AW44" s="345" t="str">
        <f>IF($Q44="","",MCAin!$V60*$Q44)</f>
        <v/>
      </c>
      <c r="AX44" s="345" t="str">
        <f>IF($R44="","",MCAin!$V60*$R44)</f>
        <v/>
      </c>
      <c r="AY44" s="347" t="str">
        <f>IF($S44="","",MCAin!$V60*$S44)</f>
        <v/>
      </c>
      <c r="AZ44" s="463" t="str">
        <f>IF($N44="","",MCAin!$W60*$N44)</f>
        <v/>
      </c>
      <c r="BA44" s="345" t="str">
        <f>IF($O44="","",MCAin!$W60*$O44)</f>
        <v/>
      </c>
      <c r="BB44" s="345" t="str">
        <f>IF($P44="","",MCAin!$W60*$P44)</f>
        <v/>
      </c>
      <c r="BC44" s="345" t="str">
        <f>IF($Q44="","",MCAin!$W60*$Q44)</f>
        <v/>
      </c>
      <c r="BD44" s="345" t="str">
        <f>IF($R44="","",MCAin!$W60*$R44)</f>
        <v/>
      </c>
      <c r="BE44" s="347" t="str">
        <f>IF($S44="","",MCAin!$W60*$S44)</f>
        <v/>
      </c>
      <c r="BF44" s="463" t="str">
        <f>IF($N44="","",MCAin!$X60*$N44)</f>
        <v/>
      </c>
      <c r="BG44" s="345" t="str">
        <f>IF($O44="","",MCAin!$X60*$O44)</f>
        <v/>
      </c>
      <c r="BH44" s="345" t="str">
        <f>IF($P44="","",MCAin!$X60*$P44)</f>
        <v/>
      </c>
      <c r="BI44" s="345" t="str">
        <f>IF($Q44="","",MCAin!$X60*$Q44)</f>
        <v/>
      </c>
      <c r="BJ44" s="345" t="str">
        <f>IF($R44="","",MCAin!$X60*$R44)</f>
        <v/>
      </c>
      <c r="BK44" s="347" t="str">
        <f>IF($S44="","",MCAin!$X60*$S44)</f>
        <v/>
      </c>
      <c r="BL44" s="463" t="str">
        <f>IF($N44="","",MCAin!$Y60*$N44)</f>
        <v/>
      </c>
      <c r="BM44" s="345" t="str">
        <f>IF($O44="","",MCAin!$Y60*$O44)</f>
        <v/>
      </c>
      <c r="BN44" s="345" t="str">
        <f>IF($P44="","",MCAin!$Y60*$P44)</f>
        <v/>
      </c>
      <c r="BO44" s="345" t="str">
        <f>IF($Q44="","",MCAin!$Y60*$Q44)</f>
        <v/>
      </c>
      <c r="BP44" s="345" t="str">
        <f>IF($R44="","",MCAin!$Y60*$R44)</f>
        <v/>
      </c>
      <c r="BQ44" s="347" t="str">
        <f>IF($S44="","",MCAin!$Y60*$S44)</f>
        <v/>
      </c>
      <c r="BR44" s="315"/>
      <c r="BS44" s="315"/>
      <c r="BT44" s="315"/>
      <c r="BU44" s="315"/>
      <c r="BV44" s="315"/>
      <c r="BW44" s="315"/>
      <c r="BX44" s="315"/>
      <c r="BY44" s="315"/>
      <c r="BZ44" s="315"/>
    </row>
    <row r="45" spans="1:78" ht="15" customHeight="1">
      <c r="A45" s="314"/>
      <c r="B45" s="110" t="s">
        <v>296</v>
      </c>
      <c r="C45" s="316"/>
      <c r="D45" s="319"/>
      <c r="E45" s="319"/>
      <c r="F45" s="319"/>
      <c r="G45" s="319"/>
      <c r="H45" s="319"/>
      <c r="I45" s="319"/>
      <c r="J45" s="484">
        <f>IF(MCAin!O61="","",MCAin!O61)</f>
        <v>60</v>
      </c>
      <c r="K45" s="484">
        <f>IF(MCAin!P61="","",MCAin!P61)</f>
        <v>1</v>
      </c>
      <c r="L45" s="314"/>
      <c r="M45" s="534" t="str">
        <f>IF(AND(COUNTIF(D45:I45,"&gt;=0")=$D$1,J45&gt;=0,K45&gt;=0,MCAin!$Q61=""),1,"")</f>
        <v/>
      </c>
      <c r="N45" s="343" t="str">
        <f t="shared" si="5"/>
        <v/>
      </c>
      <c r="O45" s="343" t="str">
        <f t="shared" si="5"/>
        <v/>
      </c>
      <c r="P45" s="343" t="str">
        <f t="shared" si="5"/>
        <v/>
      </c>
      <c r="Q45" s="343" t="str">
        <f t="shared" si="5"/>
        <v/>
      </c>
      <c r="R45" s="343" t="str">
        <f t="shared" si="5"/>
        <v/>
      </c>
      <c r="S45" s="343" t="str">
        <f t="shared" si="5"/>
        <v/>
      </c>
      <c r="T45" s="343"/>
      <c r="U45" s="344"/>
      <c r="V45" s="463" t="str">
        <f>IF($N45="","",MCAin!$R61*$N45)</f>
        <v/>
      </c>
      <c r="W45" s="345" t="str">
        <f>IF($O45="","",MCAin!$R61*$O45)</f>
        <v/>
      </c>
      <c r="X45" s="345" t="str">
        <f>IF($P45="","",MCAin!$R61*$P45)</f>
        <v/>
      </c>
      <c r="Y45" s="345" t="str">
        <f>IF($Q45="","",MCAin!$R61*$Q45)</f>
        <v/>
      </c>
      <c r="Z45" s="345" t="str">
        <f>IF($R45="","",MCAin!$R61*$R45)</f>
        <v/>
      </c>
      <c r="AA45" s="347" t="str">
        <f>IF($S45="","",MCAin!$R61*$S45)</f>
        <v/>
      </c>
      <c r="AB45" s="463" t="str">
        <f>IF($N45="","",MCAin!$S61*$N45)</f>
        <v/>
      </c>
      <c r="AC45" s="345" t="str">
        <f>IF($O45="","",MCAin!$S61*$O45)</f>
        <v/>
      </c>
      <c r="AD45" s="345" t="str">
        <f>IF($P45="","",MCAin!$S61*$P45)</f>
        <v/>
      </c>
      <c r="AE45" s="345" t="str">
        <f>IF($Q45="","",MCAin!$R61*$Q45)</f>
        <v/>
      </c>
      <c r="AF45" s="345" t="str">
        <f>IF($R45="","",MCAin!$R61*$R45)</f>
        <v/>
      </c>
      <c r="AG45" s="347" t="str">
        <f>IF($S45="","",MCAin!$S61*$S45)</f>
        <v/>
      </c>
      <c r="AH45" s="463" t="str">
        <f>IF($N45="","",MCAin!$T61*$N45)</f>
        <v/>
      </c>
      <c r="AI45" s="345" t="str">
        <f>IF($O45="","",MCAin!$T61*$O45)</f>
        <v/>
      </c>
      <c r="AJ45" s="345" t="str">
        <f>IF($P45="","",MCAin!$T61*$P45)</f>
        <v/>
      </c>
      <c r="AK45" s="345" t="str">
        <f>IF($Q45="","",MCAin!$T61*$Q45)</f>
        <v/>
      </c>
      <c r="AL45" s="345" t="str">
        <f>IF($R45="","",MCAin!$R61*$R45)</f>
        <v/>
      </c>
      <c r="AM45" s="347" t="str">
        <f>IF($S45="","",MCAin!$S61*$S45)</f>
        <v/>
      </c>
      <c r="AN45" s="463" t="str">
        <f>IF($N45="","",MCAin!$U61*$N45)</f>
        <v/>
      </c>
      <c r="AO45" s="345" t="str">
        <f>IF($O45="","",MCAin!$U61*$O45)</f>
        <v/>
      </c>
      <c r="AP45" s="345" t="str">
        <f>IF($P45="","",MCAin!$U61*$P45)</f>
        <v/>
      </c>
      <c r="AQ45" s="345" t="str">
        <f>IF($Q45="","",MCAin!$U61*$Q45)</f>
        <v/>
      </c>
      <c r="AR45" s="345" t="str">
        <f>IF($R45="","",MCAin!$U61*$R45)</f>
        <v/>
      </c>
      <c r="AS45" s="347" t="str">
        <f>IF($S45="","",MCAin!$U61*$S45)</f>
        <v/>
      </c>
      <c r="AT45" s="463" t="str">
        <f>IF($N45="","",MCAin!$V61*$N45)</f>
        <v/>
      </c>
      <c r="AU45" s="345" t="str">
        <f>IF($O45="","",MCAin!$V61*$O45)</f>
        <v/>
      </c>
      <c r="AV45" s="345" t="str">
        <f>IF($P45="","",MCAin!$V61*$P45)</f>
        <v/>
      </c>
      <c r="AW45" s="345" t="str">
        <f>IF($Q45="","",MCAin!$V61*$Q45)</f>
        <v/>
      </c>
      <c r="AX45" s="345" t="str">
        <f>IF($R45="","",MCAin!$V61*$R45)</f>
        <v/>
      </c>
      <c r="AY45" s="347" t="str">
        <f>IF($S45="","",MCAin!$V61*$S45)</f>
        <v/>
      </c>
      <c r="AZ45" s="463" t="str">
        <f>IF($N45="","",MCAin!$W61*$N45)</f>
        <v/>
      </c>
      <c r="BA45" s="345" t="str">
        <f>IF($O45="","",MCAin!$W61*$O45)</f>
        <v/>
      </c>
      <c r="BB45" s="345" t="str">
        <f>IF($P45="","",MCAin!$W61*$P45)</f>
        <v/>
      </c>
      <c r="BC45" s="345" t="str">
        <f>IF($Q45="","",MCAin!$W61*$Q45)</f>
        <v/>
      </c>
      <c r="BD45" s="345" t="str">
        <f>IF($R45="","",MCAin!$W61*$R45)</f>
        <v/>
      </c>
      <c r="BE45" s="347" t="str">
        <f>IF($S45="","",MCAin!$W61*$S45)</f>
        <v/>
      </c>
      <c r="BF45" s="463" t="str">
        <f>IF($N45="","",MCAin!$X61*$N45)</f>
        <v/>
      </c>
      <c r="BG45" s="345" t="str">
        <f>IF($O45="","",MCAin!$X61*$O45)</f>
        <v/>
      </c>
      <c r="BH45" s="345" t="str">
        <f>IF($P45="","",MCAin!$X61*$P45)</f>
        <v/>
      </c>
      <c r="BI45" s="345" t="str">
        <f>IF($Q45="","",MCAin!$X61*$Q45)</f>
        <v/>
      </c>
      <c r="BJ45" s="345" t="str">
        <f>IF($R45="","",MCAin!$X61*$R45)</f>
        <v/>
      </c>
      <c r="BK45" s="347" t="str">
        <f>IF($S45="","",MCAin!$X61*$S45)</f>
        <v/>
      </c>
      <c r="BL45" s="463" t="str">
        <f>IF($N45="","",MCAin!$Y61*$N45)</f>
        <v/>
      </c>
      <c r="BM45" s="345" t="str">
        <f>IF($O45="","",MCAin!$Y61*$O45)</f>
        <v/>
      </c>
      <c r="BN45" s="345" t="str">
        <f>IF($P45="","",MCAin!$Y61*$P45)</f>
        <v/>
      </c>
      <c r="BO45" s="345" t="str">
        <f>IF($Q45="","",MCAin!$Y61*$Q45)</f>
        <v/>
      </c>
      <c r="BP45" s="345" t="str">
        <f>IF($R45="","",MCAin!$Y61*$R45)</f>
        <v/>
      </c>
      <c r="BQ45" s="347" t="str">
        <f>IF($S45="","",MCAin!$Y61*$S45)</f>
        <v/>
      </c>
      <c r="BR45" s="315"/>
      <c r="BS45" s="315"/>
      <c r="BT45" s="315"/>
      <c r="BU45" s="315"/>
      <c r="BV45" s="315"/>
      <c r="BW45" s="315"/>
      <c r="BX45" s="315"/>
      <c r="BY45" s="315"/>
      <c r="BZ45" s="315"/>
    </row>
    <row r="46" spans="1:78" ht="15" customHeight="1">
      <c r="A46" s="314"/>
      <c r="B46" s="110" t="str">
        <f>PTAout!D82</f>
        <v>Delays</v>
      </c>
      <c r="C46" s="316"/>
      <c r="D46" s="234" t="str">
        <f>PTAout!H82</f>
        <v/>
      </c>
      <c r="E46" s="234" t="str">
        <f>PTAout!L82</f>
        <v/>
      </c>
      <c r="F46" s="234" t="str">
        <f>PTAout!Q82</f>
        <v/>
      </c>
      <c r="G46" s="234" t="str">
        <f>PTAout!V82</f>
        <v/>
      </c>
      <c r="H46" s="234" t="str">
        <f>PTAout!AA82</f>
        <v/>
      </c>
      <c r="I46" s="234" t="str">
        <f>PTAout!AF82</f>
        <v/>
      </c>
      <c r="J46" s="484">
        <f>IF(MCAin!O62="","",MCAin!O62)</f>
        <v>1.5</v>
      </c>
      <c r="K46" s="484">
        <f>IF(MCAin!P62="","",MCAin!P62)</f>
        <v>0</v>
      </c>
      <c r="L46" s="314"/>
      <c r="M46" s="534" t="str">
        <f>IF(AND(COUNTIF(D46:I46,"&gt;=0")=$D$1,J46&gt;=0,K46&gt;=0,MCAin!$Q62=""),1,"")</f>
        <v/>
      </c>
      <c r="N46" s="343" t="str">
        <f t="shared" si="5"/>
        <v/>
      </c>
      <c r="O46" s="343" t="str">
        <f t="shared" si="5"/>
        <v/>
      </c>
      <c r="P46" s="343" t="str">
        <f t="shared" si="5"/>
        <v/>
      </c>
      <c r="Q46" s="343" t="str">
        <f t="shared" si="5"/>
        <v/>
      </c>
      <c r="R46" s="343" t="str">
        <f t="shared" si="5"/>
        <v/>
      </c>
      <c r="S46" s="343" t="str">
        <f t="shared" si="5"/>
        <v/>
      </c>
      <c r="T46" s="343"/>
      <c r="U46" s="344"/>
      <c r="V46" s="463" t="str">
        <f>IF($N46="","",MCAin!$R62*$N46)</f>
        <v/>
      </c>
      <c r="W46" s="345" t="str">
        <f>IF($O46="","",MCAin!$R62*$O46)</f>
        <v/>
      </c>
      <c r="X46" s="345" t="str">
        <f>IF($P46="","",MCAin!$R62*$P46)</f>
        <v/>
      </c>
      <c r="Y46" s="345" t="str">
        <f>IF($Q46="","",MCAin!$R62*$Q46)</f>
        <v/>
      </c>
      <c r="Z46" s="345" t="str">
        <f>IF($R46="","",MCAin!$R62*$R46)</f>
        <v/>
      </c>
      <c r="AA46" s="347" t="str">
        <f>IF($S46="","",MCAin!$R62*$S46)</f>
        <v/>
      </c>
      <c r="AB46" s="463" t="str">
        <f>IF($N46="","",MCAin!$S62*$N46)</f>
        <v/>
      </c>
      <c r="AC46" s="345" t="str">
        <f>IF($O46="","",MCAin!$S62*$O46)</f>
        <v/>
      </c>
      <c r="AD46" s="345" t="str">
        <f>IF($P46="","",MCAin!$S62*$P46)</f>
        <v/>
      </c>
      <c r="AE46" s="345" t="str">
        <f>IF($Q46="","",MCAin!$R62*$Q46)</f>
        <v/>
      </c>
      <c r="AF46" s="345" t="str">
        <f>IF($R46="","",MCAin!$R62*$R46)</f>
        <v/>
      </c>
      <c r="AG46" s="347" t="str">
        <f>IF($S46="","",MCAin!$S62*$S46)</f>
        <v/>
      </c>
      <c r="AH46" s="463" t="str">
        <f>IF($N46="","",MCAin!$T62*$N46)</f>
        <v/>
      </c>
      <c r="AI46" s="345" t="str">
        <f>IF($O46="","",MCAin!$T62*$O46)</f>
        <v/>
      </c>
      <c r="AJ46" s="345" t="str">
        <f>IF($P46="","",MCAin!$T62*$P46)</f>
        <v/>
      </c>
      <c r="AK46" s="345" t="str">
        <f>IF($Q46="","",MCAin!$T62*$Q46)</f>
        <v/>
      </c>
      <c r="AL46" s="345" t="str">
        <f>IF($R46="","",MCAin!$R62*$R46)</f>
        <v/>
      </c>
      <c r="AM46" s="347" t="str">
        <f>IF($S46="","",MCAin!$S62*$S46)</f>
        <v/>
      </c>
      <c r="AN46" s="463" t="str">
        <f>IF($N46="","",MCAin!$U62*$N46)</f>
        <v/>
      </c>
      <c r="AO46" s="345" t="str">
        <f>IF($O46="","",MCAin!$U62*$O46)</f>
        <v/>
      </c>
      <c r="AP46" s="345" t="str">
        <f>IF($P46="","",MCAin!$U62*$P46)</f>
        <v/>
      </c>
      <c r="AQ46" s="345" t="str">
        <f>IF($Q46="","",MCAin!$U62*$Q46)</f>
        <v/>
      </c>
      <c r="AR46" s="345" t="str">
        <f>IF($R46="","",MCAin!$U62*$R46)</f>
        <v/>
      </c>
      <c r="AS46" s="347" t="str">
        <f>IF($S46="","",MCAin!$U62*$S46)</f>
        <v/>
      </c>
      <c r="AT46" s="463" t="str">
        <f>IF($N46="","",MCAin!$V62*$N46)</f>
        <v/>
      </c>
      <c r="AU46" s="345" t="str">
        <f>IF($O46="","",MCAin!$V62*$O46)</f>
        <v/>
      </c>
      <c r="AV46" s="345" t="str">
        <f>IF($P46="","",MCAin!$V62*$P46)</f>
        <v/>
      </c>
      <c r="AW46" s="345" t="str">
        <f>IF($Q46="","",MCAin!$V62*$Q46)</f>
        <v/>
      </c>
      <c r="AX46" s="345" t="str">
        <f>IF($R46="","",MCAin!$V62*$R46)</f>
        <v/>
      </c>
      <c r="AY46" s="347" t="str">
        <f>IF($S46="","",MCAin!$V62*$S46)</f>
        <v/>
      </c>
      <c r="AZ46" s="463" t="str">
        <f>IF($N46="","",MCAin!$W62*$N46)</f>
        <v/>
      </c>
      <c r="BA46" s="345" t="str">
        <f>IF($O46="","",MCAin!$W62*$O46)</f>
        <v/>
      </c>
      <c r="BB46" s="345" t="str">
        <f>IF($P46="","",MCAin!$W62*$P46)</f>
        <v/>
      </c>
      <c r="BC46" s="345" t="str">
        <f>IF($Q46="","",MCAin!$W62*$Q46)</f>
        <v/>
      </c>
      <c r="BD46" s="345" t="str">
        <f>IF($R46="","",MCAin!$W62*$R46)</f>
        <v/>
      </c>
      <c r="BE46" s="347" t="str">
        <f>IF($S46="","",MCAin!$W62*$S46)</f>
        <v/>
      </c>
      <c r="BF46" s="463" t="str">
        <f>IF($N46="","",MCAin!$X62*$N46)</f>
        <v/>
      </c>
      <c r="BG46" s="345" t="str">
        <f>IF($O46="","",MCAin!$X62*$O46)</f>
        <v/>
      </c>
      <c r="BH46" s="345" t="str">
        <f>IF($P46="","",MCAin!$X62*$P46)</f>
        <v/>
      </c>
      <c r="BI46" s="345" t="str">
        <f>IF($Q46="","",MCAin!$X62*$Q46)</f>
        <v/>
      </c>
      <c r="BJ46" s="345" t="str">
        <f>IF($R46="","",MCAin!$X62*$R46)</f>
        <v/>
      </c>
      <c r="BK46" s="347" t="str">
        <f>IF($S46="","",MCAin!$X62*$S46)</f>
        <v/>
      </c>
      <c r="BL46" s="463" t="str">
        <f>IF($N46="","",MCAin!$Y62*$N46)</f>
        <v/>
      </c>
      <c r="BM46" s="345" t="str">
        <f>IF($O46="","",MCAin!$Y62*$O46)</f>
        <v/>
      </c>
      <c r="BN46" s="345" t="str">
        <f>IF($P46="","",MCAin!$Y62*$P46)</f>
        <v/>
      </c>
      <c r="BO46" s="345" t="str">
        <f>IF($Q46="","",MCAin!$Y62*$Q46)</f>
        <v/>
      </c>
      <c r="BP46" s="345" t="str">
        <f>IF($R46="","",MCAin!$Y62*$R46)</f>
        <v/>
      </c>
      <c r="BQ46" s="347" t="str">
        <f>IF($S46="","",MCAin!$Y62*$S46)</f>
        <v/>
      </c>
      <c r="BR46" s="315"/>
      <c r="BS46" s="315"/>
      <c r="BT46" s="315"/>
      <c r="BU46" s="315"/>
      <c r="BV46" s="315"/>
      <c r="BW46" s="315"/>
      <c r="BX46" s="315"/>
      <c r="BY46" s="315"/>
      <c r="BZ46" s="315"/>
    </row>
    <row r="47" spans="1:78" ht="15" customHeight="1">
      <c r="A47" s="314"/>
      <c r="B47" s="110" t="str">
        <f>PTAout!D83</f>
        <v>Reliability</v>
      </c>
      <c r="C47" s="316"/>
      <c r="D47" s="234" t="str">
        <f>PTAout!H83</f>
        <v/>
      </c>
      <c r="E47" s="234" t="str">
        <f>PTAout!L83</f>
        <v/>
      </c>
      <c r="F47" s="234" t="str">
        <f>PTAout!Q83</f>
        <v/>
      </c>
      <c r="G47" s="234" t="str">
        <f>PTAout!V83</f>
        <v/>
      </c>
      <c r="H47" s="234" t="str">
        <f>PTAout!AA83</f>
        <v/>
      </c>
      <c r="I47" s="234" t="str">
        <f>PTAout!AF83</f>
        <v/>
      </c>
      <c r="J47" s="484" t="str">
        <f>IF(MCAin!O63="","",MCAin!O63)</f>
        <v/>
      </c>
      <c r="K47" s="484" t="str">
        <f>IF(MCAin!P63="","",MCAin!P63)</f>
        <v/>
      </c>
      <c r="L47" s="314"/>
      <c r="M47" s="534" t="str">
        <f>IF(AND(COUNTIF(D47:I47,"&gt;=0")=$D$1,J47&gt;=0,K47&gt;=0,MCAin!$Q63=""),1,"")</f>
        <v/>
      </c>
      <c r="N47" s="343" t="str">
        <f t="shared" si="5"/>
        <v/>
      </c>
      <c r="O47" s="343" t="str">
        <f t="shared" si="5"/>
        <v/>
      </c>
      <c r="P47" s="343" t="str">
        <f t="shared" si="5"/>
        <v/>
      </c>
      <c r="Q47" s="343" t="str">
        <f t="shared" si="5"/>
        <v/>
      </c>
      <c r="R47" s="343" t="str">
        <f t="shared" si="5"/>
        <v/>
      </c>
      <c r="S47" s="343" t="str">
        <f t="shared" si="5"/>
        <v/>
      </c>
      <c r="T47" s="343"/>
      <c r="U47" s="344"/>
      <c r="V47" s="463" t="str">
        <f>IF($N47="","",MCAin!$R63*$N47)</f>
        <v/>
      </c>
      <c r="W47" s="345" t="str">
        <f>IF($O47="","",MCAin!$R63*$O47)</f>
        <v/>
      </c>
      <c r="X47" s="345" t="str">
        <f>IF($P47="","",MCAin!$R63*$P47)</f>
        <v/>
      </c>
      <c r="Y47" s="345" t="str">
        <f>IF($Q47="","",MCAin!$R63*$Q47)</f>
        <v/>
      </c>
      <c r="Z47" s="345" t="str">
        <f>IF($R47="","",MCAin!$R63*$R47)</f>
        <v/>
      </c>
      <c r="AA47" s="347" t="str">
        <f>IF($S47="","",MCAin!$R63*$S47)</f>
        <v/>
      </c>
      <c r="AB47" s="463" t="str">
        <f>IF($N47="","",MCAin!$S63*$N47)</f>
        <v/>
      </c>
      <c r="AC47" s="345" t="str">
        <f>IF($O47="","",MCAin!$S63*$O47)</f>
        <v/>
      </c>
      <c r="AD47" s="345" t="str">
        <f>IF($P47="","",MCAin!$S63*$P47)</f>
        <v/>
      </c>
      <c r="AE47" s="345" t="str">
        <f>IF($Q47="","",MCAin!$R63*$Q47)</f>
        <v/>
      </c>
      <c r="AF47" s="345" t="str">
        <f>IF($R47="","",MCAin!$R63*$R47)</f>
        <v/>
      </c>
      <c r="AG47" s="347" t="str">
        <f>IF($S47="","",MCAin!$S63*$S47)</f>
        <v/>
      </c>
      <c r="AH47" s="463" t="str">
        <f>IF($N47="","",MCAin!$T63*$N47)</f>
        <v/>
      </c>
      <c r="AI47" s="345" t="str">
        <f>IF($O47="","",MCAin!$T63*$O47)</f>
        <v/>
      </c>
      <c r="AJ47" s="345" t="str">
        <f>IF($P47="","",MCAin!$T63*$P47)</f>
        <v/>
      </c>
      <c r="AK47" s="345" t="str">
        <f>IF($Q47="","",MCAin!$T63*$Q47)</f>
        <v/>
      </c>
      <c r="AL47" s="345" t="str">
        <f>IF($R47="","",MCAin!$R63*$R47)</f>
        <v/>
      </c>
      <c r="AM47" s="347" t="str">
        <f>IF($S47="","",MCAin!$S63*$S47)</f>
        <v/>
      </c>
      <c r="AN47" s="463" t="str">
        <f>IF($N47="","",MCAin!$U63*$N47)</f>
        <v/>
      </c>
      <c r="AO47" s="345" t="str">
        <f>IF($O47="","",MCAin!$U63*$O47)</f>
        <v/>
      </c>
      <c r="AP47" s="345" t="str">
        <f>IF($P47="","",MCAin!$U63*$P47)</f>
        <v/>
      </c>
      <c r="AQ47" s="345" t="str">
        <f>IF($Q47="","",MCAin!$U63*$Q47)</f>
        <v/>
      </c>
      <c r="AR47" s="345" t="str">
        <f>IF($R47="","",MCAin!$U63*$R47)</f>
        <v/>
      </c>
      <c r="AS47" s="347" t="str">
        <f>IF($S47="","",MCAin!$U63*$S47)</f>
        <v/>
      </c>
      <c r="AT47" s="463" t="str">
        <f>IF($N47="","",MCAin!$V63*$N47)</f>
        <v/>
      </c>
      <c r="AU47" s="345" t="str">
        <f>IF($O47="","",MCAin!$V63*$O47)</f>
        <v/>
      </c>
      <c r="AV47" s="345" t="str">
        <f>IF($P47="","",MCAin!$V63*$P47)</f>
        <v/>
      </c>
      <c r="AW47" s="345" t="str">
        <f>IF($Q47="","",MCAin!$V63*$Q47)</f>
        <v/>
      </c>
      <c r="AX47" s="345" t="str">
        <f>IF($R47="","",MCAin!$V63*$R47)</f>
        <v/>
      </c>
      <c r="AY47" s="347" t="str">
        <f>IF($S47="","",MCAin!$V63*$S47)</f>
        <v/>
      </c>
      <c r="AZ47" s="463" t="str">
        <f>IF($N47="","",MCAin!$W63*$N47)</f>
        <v/>
      </c>
      <c r="BA47" s="345" t="str">
        <f>IF($O47="","",MCAin!$W63*$O47)</f>
        <v/>
      </c>
      <c r="BB47" s="345" t="str">
        <f>IF($P47="","",MCAin!$W63*$P47)</f>
        <v/>
      </c>
      <c r="BC47" s="345" t="str">
        <f>IF($Q47="","",MCAin!$W63*$Q47)</f>
        <v/>
      </c>
      <c r="BD47" s="345" t="str">
        <f>IF($R47="","",MCAin!$W63*$R47)</f>
        <v/>
      </c>
      <c r="BE47" s="347" t="str">
        <f>IF($S47="","",MCAin!$W63*$S47)</f>
        <v/>
      </c>
      <c r="BF47" s="463" t="str">
        <f>IF($N47="","",MCAin!$X63*$N47)</f>
        <v/>
      </c>
      <c r="BG47" s="345" t="str">
        <f>IF($O47="","",MCAin!$X63*$O47)</f>
        <v/>
      </c>
      <c r="BH47" s="345" t="str">
        <f>IF($P47="","",MCAin!$X63*$P47)</f>
        <v/>
      </c>
      <c r="BI47" s="345" t="str">
        <f>IF($Q47="","",MCAin!$X63*$Q47)</f>
        <v/>
      </c>
      <c r="BJ47" s="345" t="str">
        <f>IF($R47="","",MCAin!$X63*$R47)</f>
        <v/>
      </c>
      <c r="BK47" s="347" t="str">
        <f>IF($S47="","",MCAin!$X63*$S47)</f>
        <v/>
      </c>
      <c r="BL47" s="463" t="str">
        <f>IF($N47="","",MCAin!$Y63*$N47)</f>
        <v/>
      </c>
      <c r="BM47" s="345" t="str">
        <f>IF($O47="","",MCAin!$Y63*$O47)</f>
        <v/>
      </c>
      <c r="BN47" s="345" t="str">
        <f>IF($P47="","",MCAin!$Y63*$P47)</f>
        <v/>
      </c>
      <c r="BO47" s="345" t="str">
        <f>IF($Q47="","",MCAin!$Y63*$Q47)</f>
        <v/>
      </c>
      <c r="BP47" s="345" t="str">
        <f>IF($R47="","",MCAin!$Y63*$R47)</f>
        <v/>
      </c>
      <c r="BQ47" s="347" t="str">
        <f>IF($S47="","",MCAin!$Y63*$S47)</f>
        <v/>
      </c>
      <c r="BR47" s="315"/>
      <c r="BS47" s="315"/>
      <c r="BT47" s="315"/>
      <c r="BU47" s="315"/>
      <c r="BV47" s="315"/>
      <c r="BW47" s="315"/>
      <c r="BX47" s="315"/>
      <c r="BY47" s="315"/>
      <c r="BZ47" s="315"/>
    </row>
    <row r="48" spans="1:78" ht="15" customHeight="1">
      <c r="A48" s="320"/>
      <c r="B48" s="118" t="str">
        <f>PTAout!D84</f>
        <v>Trip quality</v>
      </c>
      <c r="C48" s="321"/>
      <c r="D48" s="323" t="str">
        <f>PTAout!H84</f>
        <v/>
      </c>
      <c r="E48" s="323" t="str">
        <f>PTAout!L84</f>
        <v/>
      </c>
      <c r="F48" s="323" t="str">
        <f>PTAout!Q84</f>
        <v/>
      </c>
      <c r="G48" s="323" t="str">
        <f>PTAout!V84</f>
        <v/>
      </c>
      <c r="H48" s="323" t="str">
        <f>PTAout!AA84</f>
        <v/>
      </c>
      <c r="I48" s="323" t="str">
        <f>PTAout!AF84</f>
        <v/>
      </c>
      <c r="J48" s="489">
        <f>IF(MCAin!O64="","",MCAin!O64)</f>
        <v>0</v>
      </c>
      <c r="K48" s="489">
        <f>IF(MCAin!P64="","",MCAin!P64)</f>
        <v>100</v>
      </c>
      <c r="L48" s="314"/>
      <c r="M48" s="534" t="str">
        <f>IF(AND(COUNTIF(D48:I48,"&gt;=0")=$D$1,J48&gt;=0,K48&gt;=0,MCAin!$Q64=""),1,"")</f>
        <v/>
      </c>
      <c r="N48" s="492" t="str">
        <f t="shared" si="5"/>
        <v/>
      </c>
      <c r="O48" s="492" t="str">
        <f t="shared" si="5"/>
        <v/>
      </c>
      <c r="P48" s="492" t="str">
        <f t="shared" si="5"/>
        <v/>
      </c>
      <c r="Q48" s="492" t="str">
        <f t="shared" si="5"/>
        <v/>
      </c>
      <c r="R48" s="492" t="str">
        <f t="shared" si="5"/>
        <v/>
      </c>
      <c r="S48" s="492" t="str">
        <f t="shared" si="5"/>
        <v/>
      </c>
      <c r="T48" s="343"/>
      <c r="U48" s="344"/>
      <c r="V48" s="495" t="str">
        <f>IF($N48="","",MCAin!$R64*$N48)</f>
        <v/>
      </c>
      <c r="W48" s="496" t="str">
        <f>IF($O48="","",MCAin!$R64*$O48)</f>
        <v/>
      </c>
      <c r="X48" s="496" t="str">
        <f>IF($P48="","",MCAin!$R64*$P48)</f>
        <v/>
      </c>
      <c r="Y48" s="496" t="str">
        <f>IF($Q48="","",MCAin!$R64*$Q48)</f>
        <v/>
      </c>
      <c r="Z48" s="496" t="str">
        <f>IF($R48="","",MCAin!$R64*$R48)</f>
        <v/>
      </c>
      <c r="AA48" s="497" t="str">
        <f>IF($S48="","",MCAin!$R64*$S48)</f>
        <v/>
      </c>
      <c r="AB48" s="495" t="str">
        <f>IF($N48="","",MCAin!$S64*$N48)</f>
        <v/>
      </c>
      <c r="AC48" s="496" t="str">
        <f>IF($O48="","",MCAin!$S64*$O48)</f>
        <v/>
      </c>
      <c r="AD48" s="496" t="str">
        <f>IF($P48="","",MCAin!$S64*$P48)</f>
        <v/>
      </c>
      <c r="AE48" s="496" t="str">
        <f>IF($Q48="","",MCAin!$R64*$Q48)</f>
        <v/>
      </c>
      <c r="AF48" s="496" t="str">
        <f>IF($R48="","",MCAin!$R64*$R48)</f>
        <v/>
      </c>
      <c r="AG48" s="497" t="str">
        <f>IF($S48="","",MCAin!$S64*$S48)</f>
        <v/>
      </c>
      <c r="AH48" s="495" t="str">
        <f>IF($N48="","",MCAin!$T64*$N48)</f>
        <v/>
      </c>
      <c r="AI48" s="496" t="str">
        <f>IF($O48="","",MCAin!$T64*$O48)</f>
        <v/>
      </c>
      <c r="AJ48" s="496" t="str">
        <f>IF($P48="","",MCAin!$T64*$P48)</f>
        <v/>
      </c>
      <c r="AK48" s="496" t="str">
        <f>IF($Q48="","",MCAin!$T64*$Q48)</f>
        <v/>
      </c>
      <c r="AL48" s="496" t="str">
        <f>IF($R48="","",MCAin!$R64*$R48)</f>
        <v/>
      </c>
      <c r="AM48" s="497" t="str">
        <f>IF($S48="","",MCAin!$S64*$S48)</f>
        <v/>
      </c>
      <c r="AN48" s="495" t="str">
        <f>IF($N48="","",MCAin!$U64*$N48)</f>
        <v/>
      </c>
      <c r="AO48" s="496" t="str">
        <f>IF($O48="","",MCAin!$U64*$O48)</f>
        <v/>
      </c>
      <c r="AP48" s="496" t="str">
        <f>IF($P48="","",MCAin!$U64*$P48)</f>
        <v/>
      </c>
      <c r="AQ48" s="496" t="str">
        <f>IF($Q48="","",MCAin!$U64*$Q48)</f>
        <v/>
      </c>
      <c r="AR48" s="496" t="str">
        <f>IF($R48="","",MCAin!$U64*$R48)</f>
        <v/>
      </c>
      <c r="AS48" s="497" t="str">
        <f>IF($S48="","",MCAin!$U64*$S48)</f>
        <v/>
      </c>
      <c r="AT48" s="495" t="str">
        <f>IF($N48="","",MCAin!$V64*$N48)</f>
        <v/>
      </c>
      <c r="AU48" s="496" t="str">
        <f>IF($O48="","",MCAin!$V64*$O48)</f>
        <v/>
      </c>
      <c r="AV48" s="496" t="str">
        <f>IF($P48="","",MCAin!$V64*$P48)</f>
        <v/>
      </c>
      <c r="AW48" s="496" t="str">
        <f>IF($Q48="","",MCAin!$V64*$Q48)</f>
        <v/>
      </c>
      <c r="AX48" s="496" t="str">
        <f>IF($R48="","",MCAin!$V64*$R48)</f>
        <v/>
      </c>
      <c r="AY48" s="497" t="str">
        <f>IF($S48="","",MCAin!$V64*$S48)</f>
        <v/>
      </c>
      <c r="AZ48" s="495" t="str">
        <f>IF($N48="","",MCAin!$W64*$N48)</f>
        <v/>
      </c>
      <c r="BA48" s="496" t="str">
        <f>IF($O48="","",MCAin!$W64*$O48)</f>
        <v/>
      </c>
      <c r="BB48" s="496" t="str">
        <f>IF($P48="","",MCAin!$W64*$P48)</f>
        <v/>
      </c>
      <c r="BC48" s="496" t="str">
        <f>IF($Q48="","",MCAin!$W64*$Q48)</f>
        <v/>
      </c>
      <c r="BD48" s="496" t="str">
        <f>IF($R48="","",MCAin!$W64*$R48)</f>
        <v/>
      </c>
      <c r="BE48" s="497" t="str">
        <f>IF($S48="","",MCAin!$W64*$S48)</f>
        <v/>
      </c>
      <c r="BF48" s="495" t="str">
        <f>IF($N48="","",MCAin!$X64*$N48)</f>
        <v/>
      </c>
      <c r="BG48" s="496" t="str">
        <f>IF($O48="","",MCAin!$X64*$O48)</f>
        <v/>
      </c>
      <c r="BH48" s="496" t="str">
        <f>IF($P48="","",MCAin!$X64*$P48)</f>
        <v/>
      </c>
      <c r="BI48" s="496" t="str">
        <f>IF($Q48="","",MCAin!$X64*$Q48)</f>
        <v/>
      </c>
      <c r="BJ48" s="496" t="str">
        <f>IF($R48="","",MCAin!$X64*$R48)</f>
        <v/>
      </c>
      <c r="BK48" s="497" t="str">
        <f>IF($S48="","",MCAin!$X64*$S48)</f>
        <v/>
      </c>
      <c r="BL48" s="495" t="str">
        <f>IF($N48="","",MCAin!$Y64*$N48)</f>
        <v/>
      </c>
      <c r="BM48" s="496" t="str">
        <f>IF($O48="","",MCAin!$Y64*$O48)</f>
        <v/>
      </c>
      <c r="BN48" s="496" t="str">
        <f>IF($P48="","",MCAin!$Y64*$P48)</f>
        <v/>
      </c>
      <c r="BO48" s="496" t="str">
        <f>IF($Q48="","",MCAin!$Y64*$Q48)</f>
        <v/>
      </c>
      <c r="BP48" s="496" t="str">
        <f>IF($R48="","",MCAin!$Y64*$R48)</f>
        <v/>
      </c>
      <c r="BQ48" s="497" t="str">
        <f>IF($S48="","",MCAin!$Y64*$S48)</f>
        <v/>
      </c>
      <c r="BR48" s="315"/>
      <c r="BS48" s="315"/>
      <c r="BT48" s="315"/>
      <c r="BU48" s="315"/>
      <c r="BV48" s="315"/>
      <c r="BW48" s="315"/>
      <c r="BX48" s="315"/>
      <c r="BY48" s="315"/>
      <c r="BZ48" s="315"/>
    </row>
    <row r="49" spans="1:78" ht="15" customHeight="1">
      <c r="A49" s="498" t="str">
        <f>PTAout!C85</f>
        <v>Motorcyclists</v>
      </c>
      <c r="B49" s="499"/>
      <c r="C49" s="500"/>
      <c r="D49" s="501"/>
      <c r="E49" s="501"/>
      <c r="F49" s="501"/>
      <c r="G49" s="501"/>
      <c r="H49" s="501"/>
      <c r="I49" s="501"/>
      <c r="J49" s="502"/>
      <c r="K49" s="502"/>
      <c r="L49" s="503"/>
      <c r="M49" s="504"/>
      <c r="N49" s="504"/>
      <c r="O49" s="504"/>
      <c r="P49" s="504"/>
      <c r="Q49" s="504"/>
      <c r="R49" s="504"/>
      <c r="S49" s="504"/>
      <c r="T49" s="504"/>
      <c r="U49" s="504"/>
      <c r="V49" s="507" t="str">
        <f>IF($N49="","",$N49*MCAin!$R65)</f>
        <v/>
      </c>
      <c r="W49" s="508"/>
      <c r="X49" s="508" t="str">
        <f>IF($O49="","",$O49*MCAin!$R65)</f>
        <v/>
      </c>
      <c r="Y49" s="508" t="str">
        <f>IF($P49="","",$P49*MCAin!$R65)</f>
        <v/>
      </c>
      <c r="Z49" s="508" t="str">
        <f>IF($Q49="","",$Q49*MCAin!$R65)</f>
        <v/>
      </c>
      <c r="AA49" s="509" t="str">
        <f>IF($S49="","",$S49*MCAin!$R65)</f>
        <v/>
      </c>
      <c r="AB49" s="507" t="str">
        <f>IF($N49="","",$N49*MCAin!$S65)</f>
        <v/>
      </c>
      <c r="AC49" s="508"/>
      <c r="AD49" s="508" t="str">
        <f>IF($O49="","",$O49*MCAin!$S65)</f>
        <v/>
      </c>
      <c r="AE49" s="508" t="str">
        <f>IF($P49="","",$P49*MCAin!$R65)</f>
        <v/>
      </c>
      <c r="AF49" s="508" t="str">
        <f>IF($Q49="","",$Q49*MCAin!$R65)</f>
        <v/>
      </c>
      <c r="AG49" s="509" t="str">
        <f>IF($S49="","",$S49*MCAin!$S65)</f>
        <v/>
      </c>
      <c r="AH49" s="507" t="str">
        <f>IF($N49="","",$N49*MCAin!$T65)</f>
        <v/>
      </c>
      <c r="AI49" s="508"/>
      <c r="AJ49" s="508" t="str">
        <f>IF($O49="","",$O49*MCAin!$T65)</f>
        <v/>
      </c>
      <c r="AK49" s="508" t="str">
        <f>IF($P49="","",$P49*MCAin!$T65)</f>
        <v/>
      </c>
      <c r="AL49" s="508" t="str">
        <f>IF($Q49="","",$Q49*MCAin!$R65)</f>
        <v/>
      </c>
      <c r="AM49" s="509" t="str">
        <f>IF($S49="","",$S49*MCAin!$S65)</f>
        <v/>
      </c>
      <c r="AN49" s="507" t="str">
        <f>IF($N49="","",$N49*MCAin!$U65)</f>
        <v/>
      </c>
      <c r="AO49" s="508"/>
      <c r="AP49" s="508" t="str">
        <f>IF($O49="","",$O49*MCAin!$U65)</f>
        <v/>
      </c>
      <c r="AQ49" s="508" t="str">
        <f>IF($P49="","",$P49*MCAin!$U65)</f>
        <v/>
      </c>
      <c r="AR49" s="508" t="str">
        <f>IF($Q49="","",$Q49*MCAin!$S65)</f>
        <v/>
      </c>
      <c r="AS49" s="509" t="str">
        <f>IF($U49="","",$U49*MCAin!$T65)</f>
        <v/>
      </c>
      <c r="AT49" s="507" t="str">
        <f>IF($N49="","",$N49*MCAin!$V65)</f>
        <v/>
      </c>
      <c r="AU49" s="508"/>
      <c r="AV49" s="508" t="str">
        <f>IF($O49="","",$O49*MCAin!$V65)</f>
        <v/>
      </c>
      <c r="AW49" s="508" t="str">
        <f>IF($P49="","",$P49*MCAin!$V65)</f>
        <v/>
      </c>
      <c r="AX49" s="508" t="str">
        <f>IF($Q49="","",$Q49*MCAin!$V65)</f>
        <v/>
      </c>
      <c r="AY49" s="509" t="str">
        <f>IF($S49="","",$W49*MCAin!$V65)</f>
        <v/>
      </c>
      <c r="AZ49" s="507" t="str">
        <f>IF($N49="","",$N49*MCAin!$W65)</f>
        <v/>
      </c>
      <c r="BA49" s="508"/>
      <c r="BB49" s="508" t="str">
        <f>IF($O49="","",$O49*MCAin!$W65)</f>
        <v/>
      </c>
      <c r="BC49" s="508" t="str">
        <f>IF($P49="","",$P49*MCAin!$W65)</f>
        <v/>
      </c>
      <c r="BD49" s="508" t="str">
        <f>IF($Q49="","",$Q49*MCAin!$W65)</f>
        <v/>
      </c>
      <c r="BE49" s="509" t="str">
        <f>IF($X49="","",$X49*MCAin!$W65)</f>
        <v/>
      </c>
      <c r="BF49" s="507" t="str">
        <f>IF($N49="","",$N49*MCAin!$X65)</f>
        <v/>
      </c>
      <c r="BG49" s="508"/>
      <c r="BH49" s="508" t="str">
        <f>IF($O49="","",$O49*MCAin!$X65)</f>
        <v/>
      </c>
      <c r="BI49" s="508" t="str">
        <f>IF($P49="","",$P49*MCAin!$X65)</f>
        <v/>
      </c>
      <c r="BJ49" s="508" t="str">
        <f>IF($Q49="","",$Q49*MCAin!$X65)</f>
        <v/>
      </c>
      <c r="BK49" s="509" t="str">
        <f>IF($Y49="","",$Y49*MCAin!$X65)</f>
        <v/>
      </c>
      <c r="BL49" s="507" t="str">
        <f>IF($N49="","",$N49*MCAin!$Y65)</f>
        <v/>
      </c>
      <c r="BM49" s="508"/>
      <c r="BN49" s="508" t="str">
        <f>IF($O49="","",$O49*MCAin!$Y65)</f>
        <v/>
      </c>
      <c r="BO49" s="508" t="str">
        <f>IF($P49="","",$P49*MCAin!$Y65)</f>
        <v/>
      </c>
      <c r="BP49" s="508" t="str">
        <f>IF($Q49="","",$Q49*MCAin!$Y65)</f>
        <v/>
      </c>
      <c r="BQ49" s="509" t="str">
        <f>IF($Z49="","",$Z49*MCAin!$Y65)</f>
        <v/>
      </c>
      <c r="BR49" s="315"/>
      <c r="BS49" s="315"/>
      <c r="BT49" s="315"/>
      <c r="BU49" s="315"/>
      <c r="BV49" s="315"/>
      <c r="BW49" s="315"/>
      <c r="BX49" s="315"/>
      <c r="BY49" s="315"/>
      <c r="BZ49" s="315"/>
    </row>
    <row r="50" spans="1:78" ht="15" customHeight="1">
      <c r="A50" s="314"/>
      <c r="B50" s="110" t="str">
        <f>PTAout!D86</f>
        <v>Space</v>
      </c>
      <c r="C50" s="316"/>
      <c r="D50" s="318" t="str">
        <f>PTAout!H86</f>
        <v/>
      </c>
      <c r="E50" s="318" t="str">
        <f>PTAout!L86</f>
        <v/>
      </c>
      <c r="F50" s="318" t="str">
        <f>PTAout!Q86</f>
        <v/>
      </c>
      <c r="G50" s="318" t="str">
        <f>PTAout!V86</f>
        <v/>
      </c>
      <c r="H50" s="318" t="str">
        <f>PTAout!AA86</f>
        <v/>
      </c>
      <c r="I50" s="318" t="str">
        <f>PTAout!AF86</f>
        <v/>
      </c>
      <c r="J50" s="484">
        <f>IF(MCAin!O66="","",MCAin!O66)</f>
        <v>0</v>
      </c>
      <c r="K50" s="484">
        <f>IF(MCAin!P66="","",MCAin!P66)</f>
        <v>44</v>
      </c>
      <c r="L50" s="314"/>
      <c r="M50" s="534" t="str">
        <f>IF(AND(COUNTIF(D50:I50,"&gt;=0")=$D$1,J50&gt;=0,K50&gt;=0,MCAin!$Q66=""),1,"")</f>
        <v/>
      </c>
      <c r="N50" s="343" t="str">
        <f t="shared" ref="N50:S56" si="6">IF(OR($M50&lt;&gt;1,D50=""),"",(D50-$J50)/($K50-$J50))</f>
        <v/>
      </c>
      <c r="O50" s="343" t="str">
        <f t="shared" si="6"/>
        <v/>
      </c>
      <c r="P50" s="343" t="str">
        <f t="shared" si="6"/>
        <v/>
      </c>
      <c r="Q50" s="343" t="str">
        <f t="shared" si="6"/>
        <v/>
      </c>
      <c r="R50" s="343" t="str">
        <f t="shared" si="6"/>
        <v/>
      </c>
      <c r="S50" s="343" t="str">
        <f t="shared" si="6"/>
        <v/>
      </c>
      <c r="T50" s="343"/>
      <c r="U50" s="344"/>
      <c r="V50" s="463" t="str">
        <f>IF($N50="","",MCAin!$R66*$N50)</f>
        <v/>
      </c>
      <c r="W50" s="345" t="str">
        <f>IF($O50="","",MCAin!$R66*$O50)</f>
        <v/>
      </c>
      <c r="X50" s="345" t="str">
        <f>IF($P50="","",MCAin!$R66*$P50)</f>
        <v/>
      </c>
      <c r="Y50" s="345" t="str">
        <f>IF($Q50="","",MCAin!$R66*$Q50)</f>
        <v/>
      </c>
      <c r="Z50" s="345" t="str">
        <f>IF($R50="","",MCAin!$R66*$R50)</f>
        <v/>
      </c>
      <c r="AA50" s="347" t="str">
        <f>IF($S50="","",MCAin!$R66*$S50)</f>
        <v/>
      </c>
      <c r="AB50" s="463" t="str">
        <f>IF($N50="","",MCAin!$S66*$N50)</f>
        <v/>
      </c>
      <c r="AC50" s="345" t="str">
        <f>IF($O50="","",MCAin!$S66*$O50)</f>
        <v/>
      </c>
      <c r="AD50" s="345" t="str">
        <f>IF($P50="","",MCAin!$S66*$P50)</f>
        <v/>
      </c>
      <c r="AE50" s="345" t="str">
        <f>IF($Q50="","",MCAin!$R66*$Q50)</f>
        <v/>
      </c>
      <c r="AF50" s="345" t="str">
        <f>IF($R50="","",MCAin!$R66*$R50)</f>
        <v/>
      </c>
      <c r="AG50" s="347" t="str">
        <f>IF($S50="","",MCAin!$S66*$S50)</f>
        <v/>
      </c>
      <c r="AH50" s="463" t="str">
        <f>IF($N50="","",MCAin!$T66*$N50)</f>
        <v/>
      </c>
      <c r="AI50" s="345" t="str">
        <f>IF($O50="","",MCAin!$T66*$O50)</f>
        <v/>
      </c>
      <c r="AJ50" s="345" t="str">
        <f>IF($P50="","",MCAin!$T66*$P50)</f>
        <v/>
      </c>
      <c r="AK50" s="345" t="str">
        <f>IF($Q50="","",MCAin!$T66*$Q50)</f>
        <v/>
      </c>
      <c r="AL50" s="345" t="str">
        <f>IF($R50="","",MCAin!$R66*$R50)</f>
        <v/>
      </c>
      <c r="AM50" s="347" t="str">
        <f>IF($S50="","",MCAin!$S66*$S50)</f>
        <v/>
      </c>
      <c r="AN50" s="463" t="str">
        <f>IF($N50="","",MCAin!$U66*$N50)</f>
        <v/>
      </c>
      <c r="AO50" s="345" t="str">
        <f>IF($O50="","",MCAin!$U66*$O50)</f>
        <v/>
      </c>
      <c r="AP50" s="345" t="str">
        <f>IF($P50="","",MCAin!$U66*$P50)</f>
        <v/>
      </c>
      <c r="AQ50" s="345" t="str">
        <f>IF($Q50="","",MCAin!$U66*$Q50)</f>
        <v/>
      </c>
      <c r="AR50" s="345" t="str">
        <f>IF($R50="","",MCAin!$U66*$R50)</f>
        <v/>
      </c>
      <c r="AS50" s="347" t="str">
        <f>IF($S50="","",MCAin!$U66*$S50)</f>
        <v/>
      </c>
      <c r="AT50" s="463" t="str">
        <f>IF($N50="","",MCAin!$V66*$N50)</f>
        <v/>
      </c>
      <c r="AU50" s="345" t="str">
        <f>IF($O50="","",MCAin!$V66*$O50)</f>
        <v/>
      </c>
      <c r="AV50" s="345" t="str">
        <f>IF($P50="","",MCAin!$V66*$P50)</f>
        <v/>
      </c>
      <c r="AW50" s="345" t="str">
        <f>IF($Q50="","",MCAin!$V66*$Q50)</f>
        <v/>
      </c>
      <c r="AX50" s="345" t="str">
        <f>IF($R50="","",MCAin!$V66*$R50)</f>
        <v/>
      </c>
      <c r="AY50" s="347" t="str">
        <f>IF($S50="","",MCAin!$V66*$S50)</f>
        <v/>
      </c>
      <c r="AZ50" s="463" t="str">
        <f>IF($N50="","",MCAin!$W66*$N50)</f>
        <v/>
      </c>
      <c r="BA50" s="345" t="str">
        <f>IF($O50="","",MCAin!$W66*$O50)</f>
        <v/>
      </c>
      <c r="BB50" s="345" t="str">
        <f>IF($P50="","",MCAin!$W66*$P50)</f>
        <v/>
      </c>
      <c r="BC50" s="345" t="str">
        <f>IF($Q50="","",MCAin!$W66*$Q50)</f>
        <v/>
      </c>
      <c r="BD50" s="345" t="str">
        <f>IF($R50="","",MCAin!$W66*$R50)</f>
        <v/>
      </c>
      <c r="BE50" s="347" t="str">
        <f>IF($S50="","",MCAin!$W66*$S50)</f>
        <v/>
      </c>
      <c r="BF50" s="463" t="str">
        <f>IF($N50="","",MCAin!$X66*$N50)</f>
        <v/>
      </c>
      <c r="BG50" s="345" t="str">
        <f>IF($O50="","",MCAin!$X66*$O50)</f>
        <v/>
      </c>
      <c r="BH50" s="345" t="str">
        <f>IF($P50="","",MCAin!$X66*$P50)</f>
        <v/>
      </c>
      <c r="BI50" s="345" t="str">
        <f>IF($Q50="","",MCAin!$X66*$Q50)</f>
        <v/>
      </c>
      <c r="BJ50" s="345" t="str">
        <f>IF($R50="","",MCAin!$X66*$R50)</f>
        <v/>
      </c>
      <c r="BK50" s="347" t="str">
        <f>IF($S50="","",MCAin!$X66*$S50)</f>
        <v/>
      </c>
      <c r="BL50" s="463" t="str">
        <f>IF($N50="","",MCAin!$Y66*$N50)</f>
        <v/>
      </c>
      <c r="BM50" s="345" t="str">
        <f>IF($O50="","",MCAin!$Y66*$O50)</f>
        <v/>
      </c>
      <c r="BN50" s="345" t="str">
        <f>IF($P50="","",MCAin!$Y66*$P50)</f>
        <v/>
      </c>
      <c r="BO50" s="345" t="str">
        <f>IF($Q50="","",MCAin!$Y66*$Q50)</f>
        <v/>
      </c>
      <c r="BP50" s="345" t="str">
        <f>IF($R50="","",MCAin!$Y66*$R50)</f>
        <v/>
      </c>
      <c r="BQ50" s="347" t="str">
        <f>IF($S50="","",MCAin!$Y66*$S50)</f>
        <v/>
      </c>
      <c r="BR50" s="315"/>
      <c r="BS50" s="315"/>
      <c r="BT50" s="315"/>
      <c r="BU50" s="315"/>
      <c r="BV50" s="315"/>
      <c r="BW50" s="315"/>
      <c r="BX50" s="315"/>
      <c r="BY50" s="315"/>
      <c r="BZ50" s="315"/>
    </row>
    <row r="51" spans="1:78" ht="15" customHeight="1">
      <c r="A51" s="314"/>
      <c r="B51" s="110" t="str">
        <f>PTAout!D87</f>
        <v>Volume</v>
      </c>
      <c r="C51" s="316"/>
      <c r="D51" s="318" t="str">
        <f>PTAout!H87</f>
        <v/>
      </c>
      <c r="E51" s="318" t="str">
        <f>PTAout!L87</f>
        <v/>
      </c>
      <c r="F51" s="318" t="str">
        <f>PTAout!Q87</f>
        <v/>
      </c>
      <c r="G51" s="318" t="str">
        <f>PTAout!V87</f>
        <v/>
      </c>
      <c r="H51" s="318" t="str">
        <f>PTAout!AA87</f>
        <v/>
      </c>
      <c r="I51" s="318" t="str">
        <f>PTAout!AF87</f>
        <v/>
      </c>
      <c r="J51" s="484">
        <f>IF(MCAin!O67="","",MCAin!O67)</f>
        <v>0</v>
      </c>
      <c r="K51" s="484">
        <f>IF(MCAin!P67="","",MCAin!P67)</f>
        <v>12000</v>
      </c>
      <c r="L51" s="314"/>
      <c r="M51" s="534" t="str">
        <f>IF(AND(COUNTIF(D51:I51,"&gt;=0")=$D$1,J51&gt;=0,K51&gt;=0,MCAin!$Q67=""),1,"")</f>
        <v/>
      </c>
      <c r="N51" s="343" t="str">
        <f t="shared" si="6"/>
        <v/>
      </c>
      <c r="O51" s="343" t="str">
        <f t="shared" si="6"/>
        <v/>
      </c>
      <c r="P51" s="343" t="str">
        <f t="shared" si="6"/>
        <v/>
      </c>
      <c r="Q51" s="343" t="str">
        <f t="shared" si="6"/>
        <v/>
      </c>
      <c r="R51" s="343" t="str">
        <f t="shared" si="6"/>
        <v/>
      </c>
      <c r="S51" s="343" t="str">
        <f t="shared" si="6"/>
        <v/>
      </c>
      <c r="T51" s="343"/>
      <c r="U51" s="344"/>
      <c r="V51" s="463" t="str">
        <f>IF($N51="","",MCAin!$R67*$N51)</f>
        <v/>
      </c>
      <c r="W51" s="345" t="str">
        <f>IF($O51="","",MCAin!$R67*$O51)</f>
        <v/>
      </c>
      <c r="X51" s="345" t="str">
        <f>IF($P51="","",MCAin!$R67*$P51)</f>
        <v/>
      </c>
      <c r="Y51" s="345" t="str">
        <f>IF($Q51="","",MCAin!$R67*$Q51)</f>
        <v/>
      </c>
      <c r="Z51" s="345" t="str">
        <f>IF($R51="","",MCAin!$R67*$R51)</f>
        <v/>
      </c>
      <c r="AA51" s="347" t="str">
        <f>IF($S51="","",MCAin!$R67*$S51)</f>
        <v/>
      </c>
      <c r="AB51" s="463" t="str">
        <f>IF($N51="","",MCAin!$S67*$N51)</f>
        <v/>
      </c>
      <c r="AC51" s="345" t="str">
        <f>IF($O51="","",MCAin!$S67*$O51)</f>
        <v/>
      </c>
      <c r="AD51" s="345" t="str">
        <f>IF($P51="","",MCAin!$S67*$P51)</f>
        <v/>
      </c>
      <c r="AE51" s="345" t="str">
        <f>IF($Q51="","",MCAin!$R67*$Q51)</f>
        <v/>
      </c>
      <c r="AF51" s="345" t="str">
        <f>IF($R51="","",MCAin!$R67*$R51)</f>
        <v/>
      </c>
      <c r="AG51" s="347" t="str">
        <f>IF($S51="","",MCAin!$S67*$S51)</f>
        <v/>
      </c>
      <c r="AH51" s="463" t="str">
        <f>IF($N51="","",MCAin!$T67*$N51)</f>
        <v/>
      </c>
      <c r="AI51" s="345" t="str">
        <f>IF($O51="","",MCAin!$T67*$O51)</f>
        <v/>
      </c>
      <c r="AJ51" s="345" t="str">
        <f>IF($P51="","",MCAin!$T67*$P51)</f>
        <v/>
      </c>
      <c r="AK51" s="345" t="str">
        <f>IF($Q51="","",MCAin!$T67*$Q51)</f>
        <v/>
      </c>
      <c r="AL51" s="345" t="str">
        <f>IF($R51="","",MCAin!$R67*$R51)</f>
        <v/>
      </c>
      <c r="AM51" s="347" t="str">
        <f>IF($S51="","",MCAin!$S67*$S51)</f>
        <v/>
      </c>
      <c r="AN51" s="463" t="str">
        <f>IF($N51="","",MCAin!$U67*$N51)</f>
        <v/>
      </c>
      <c r="AO51" s="345" t="str">
        <f>IF($O51="","",MCAin!$U67*$O51)</f>
        <v/>
      </c>
      <c r="AP51" s="345" t="str">
        <f>IF($P51="","",MCAin!$U67*$P51)</f>
        <v/>
      </c>
      <c r="AQ51" s="345" t="str">
        <f>IF($Q51="","",MCAin!$U67*$Q51)</f>
        <v/>
      </c>
      <c r="AR51" s="345" t="str">
        <f>IF($R51="","",MCAin!$U67*$R51)</f>
        <v/>
      </c>
      <c r="AS51" s="347" t="str">
        <f>IF($S51="","",MCAin!$U67*$S51)</f>
        <v/>
      </c>
      <c r="AT51" s="463" t="str">
        <f>IF($N51="","",MCAin!$V67*$N51)</f>
        <v/>
      </c>
      <c r="AU51" s="345" t="str">
        <f>IF($O51="","",MCAin!$V67*$O51)</f>
        <v/>
      </c>
      <c r="AV51" s="345" t="str">
        <f>IF($P51="","",MCAin!$V67*$P51)</f>
        <v/>
      </c>
      <c r="AW51" s="345" t="str">
        <f>IF($Q51="","",MCAin!$V67*$Q51)</f>
        <v/>
      </c>
      <c r="AX51" s="345" t="str">
        <f>IF($R51="","",MCAin!$V67*$R51)</f>
        <v/>
      </c>
      <c r="AY51" s="347" t="str">
        <f>IF($S51="","",MCAin!$V67*$S51)</f>
        <v/>
      </c>
      <c r="AZ51" s="463" t="str">
        <f>IF($N51="","",MCAin!$W67*$N51)</f>
        <v/>
      </c>
      <c r="BA51" s="345" t="str">
        <f>IF($O51="","",MCAin!$W67*$O51)</f>
        <v/>
      </c>
      <c r="BB51" s="345" t="str">
        <f>IF($P51="","",MCAin!$W67*$P51)</f>
        <v/>
      </c>
      <c r="BC51" s="345" t="str">
        <f>IF($Q51="","",MCAin!$W67*$Q51)</f>
        <v/>
      </c>
      <c r="BD51" s="345" t="str">
        <f>IF($R51="","",MCAin!$W67*$R51)</f>
        <v/>
      </c>
      <c r="BE51" s="347" t="str">
        <f>IF($S51="","",MCAin!$W67*$S51)</f>
        <v/>
      </c>
      <c r="BF51" s="463" t="str">
        <f>IF($N51="","",MCAin!$X67*$N51)</f>
        <v/>
      </c>
      <c r="BG51" s="345" t="str">
        <f>IF($O51="","",MCAin!$X67*$O51)</f>
        <v/>
      </c>
      <c r="BH51" s="345" t="str">
        <f>IF($P51="","",MCAin!$X67*$P51)</f>
        <v/>
      </c>
      <c r="BI51" s="345" t="str">
        <f>IF($Q51="","",MCAin!$X67*$Q51)</f>
        <v/>
      </c>
      <c r="BJ51" s="345" t="str">
        <f>IF($R51="","",MCAin!$X67*$R51)</f>
        <v/>
      </c>
      <c r="BK51" s="347" t="str">
        <f>IF($S51="","",MCAin!$X67*$S51)</f>
        <v/>
      </c>
      <c r="BL51" s="463" t="str">
        <f>IF($N51="","",MCAin!$Y67*$N51)</f>
        <v/>
      </c>
      <c r="BM51" s="345" t="str">
        <f>IF($O51="","",MCAin!$Y67*$O51)</f>
        <v/>
      </c>
      <c r="BN51" s="345" t="str">
        <f>IF($P51="","",MCAin!$Y67*$P51)</f>
        <v/>
      </c>
      <c r="BO51" s="345" t="str">
        <f>IF($Q51="","",MCAin!$Y67*$Q51)</f>
        <v/>
      </c>
      <c r="BP51" s="345" t="str">
        <f>IF($R51="","",MCAin!$Y67*$R51)</f>
        <v/>
      </c>
      <c r="BQ51" s="347" t="str">
        <f>IF($S51="","",MCAin!$Y67*$S51)</f>
        <v/>
      </c>
      <c r="BR51" s="315"/>
      <c r="BS51" s="315"/>
      <c r="BT51" s="315"/>
      <c r="BU51" s="315"/>
      <c r="BV51" s="315"/>
      <c r="BW51" s="315"/>
      <c r="BX51" s="315"/>
      <c r="BY51" s="315"/>
      <c r="BZ51" s="315"/>
    </row>
    <row r="52" spans="1:78" ht="15" customHeight="1">
      <c r="A52" s="314"/>
      <c r="B52" s="110" t="str">
        <f>PTAout!D88</f>
        <v>Speed</v>
      </c>
      <c r="C52" s="316"/>
      <c r="D52" s="234" t="str">
        <f>PTAout!H88</f>
        <v/>
      </c>
      <c r="E52" s="234" t="str">
        <f>PTAout!L88</f>
        <v/>
      </c>
      <c r="F52" s="234" t="str">
        <f>PTAout!Q88</f>
        <v/>
      </c>
      <c r="G52" s="234" t="str">
        <f>PTAout!V88</f>
        <v/>
      </c>
      <c r="H52" s="234" t="str">
        <f>PTAout!AA88</f>
        <v/>
      </c>
      <c r="I52" s="234" t="str">
        <f>PTAout!AF88</f>
        <v/>
      </c>
      <c r="J52" s="484">
        <f>IF(MCAin!O68="","",MCAin!O68)</f>
        <v>5</v>
      </c>
      <c r="K52" s="484">
        <f>IF(MCAin!P68="","",MCAin!P68)</f>
        <v>60</v>
      </c>
      <c r="L52" s="314"/>
      <c r="M52" s="534" t="str">
        <f>IF(AND(COUNTIF(D52:I52,"&gt;=0")=$D$1,J52&gt;=0,K52&gt;=0,MCAin!$Q68=""),1,"")</f>
        <v/>
      </c>
      <c r="N52" s="343" t="str">
        <f t="shared" si="6"/>
        <v/>
      </c>
      <c r="O52" s="343" t="str">
        <f t="shared" si="6"/>
        <v/>
      </c>
      <c r="P52" s="343" t="str">
        <f t="shared" si="6"/>
        <v/>
      </c>
      <c r="Q52" s="343" t="str">
        <f t="shared" si="6"/>
        <v/>
      </c>
      <c r="R52" s="343" t="str">
        <f t="shared" si="6"/>
        <v/>
      </c>
      <c r="S52" s="343" t="str">
        <f t="shared" si="6"/>
        <v/>
      </c>
      <c r="T52" s="343"/>
      <c r="U52" s="344"/>
      <c r="V52" s="463" t="str">
        <f>IF($N52="","",MCAin!$R68*$N52)</f>
        <v/>
      </c>
      <c r="W52" s="345" t="str">
        <f>IF($O52="","",MCAin!$R68*$O52)</f>
        <v/>
      </c>
      <c r="X52" s="345" t="str">
        <f>IF($P52="","",MCAin!$R68*$P52)</f>
        <v/>
      </c>
      <c r="Y52" s="345" t="str">
        <f>IF($Q52="","",MCAin!$R68*$Q52)</f>
        <v/>
      </c>
      <c r="Z52" s="345" t="str">
        <f>IF($R52="","",MCAin!$R68*$R52)</f>
        <v/>
      </c>
      <c r="AA52" s="347" t="str">
        <f>IF($S52="","",MCAin!$R68*$S52)</f>
        <v/>
      </c>
      <c r="AB52" s="463" t="str">
        <f>IF($N52="","",MCAin!$S68*$N52)</f>
        <v/>
      </c>
      <c r="AC52" s="345" t="str">
        <f>IF($O52="","",MCAin!$S68*$O52)</f>
        <v/>
      </c>
      <c r="AD52" s="345" t="str">
        <f>IF($P52="","",MCAin!$S68*$P52)</f>
        <v/>
      </c>
      <c r="AE52" s="345" t="str">
        <f>IF($Q52="","",MCAin!$R68*$Q52)</f>
        <v/>
      </c>
      <c r="AF52" s="345" t="str">
        <f>IF($R52="","",MCAin!$R68*$R52)</f>
        <v/>
      </c>
      <c r="AG52" s="347" t="str">
        <f>IF($S52="","",MCAin!$S68*$S52)</f>
        <v/>
      </c>
      <c r="AH52" s="463" t="str">
        <f>IF($N52="","",MCAin!$T68*$N52)</f>
        <v/>
      </c>
      <c r="AI52" s="345" t="str">
        <f>IF($O52="","",MCAin!$T68*$O52)</f>
        <v/>
      </c>
      <c r="AJ52" s="345" t="str">
        <f>IF($P52="","",MCAin!$T68*$P52)</f>
        <v/>
      </c>
      <c r="AK52" s="345" t="str">
        <f>IF($Q52="","",MCAin!$T68*$Q52)</f>
        <v/>
      </c>
      <c r="AL52" s="345" t="str">
        <f>IF($R52="","",MCAin!$R68*$R52)</f>
        <v/>
      </c>
      <c r="AM52" s="347" t="str">
        <f>IF($S52="","",MCAin!$S68*$S52)</f>
        <v/>
      </c>
      <c r="AN52" s="463" t="str">
        <f>IF($N52="","",MCAin!$U68*$N52)</f>
        <v/>
      </c>
      <c r="AO52" s="345" t="str">
        <f>IF($O52="","",MCAin!$U68*$O52)</f>
        <v/>
      </c>
      <c r="AP52" s="345" t="str">
        <f>IF($P52="","",MCAin!$U68*$P52)</f>
        <v/>
      </c>
      <c r="AQ52" s="345" t="str">
        <f>IF($Q52="","",MCAin!$U68*$Q52)</f>
        <v/>
      </c>
      <c r="AR52" s="345" t="str">
        <f>IF($R52="","",MCAin!$U68*$R52)</f>
        <v/>
      </c>
      <c r="AS52" s="347" t="str">
        <f>IF($S52="","",MCAin!$U68*$S52)</f>
        <v/>
      </c>
      <c r="AT52" s="463" t="str">
        <f>IF($N52="","",MCAin!$V68*$N52)</f>
        <v/>
      </c>
      <c r="AU52" s="345" t="str">
        <f>IF($O52="","",MCAin!$V68*$O52)</f>
        <v/>
      </c>
      <c r="AV52" s="345" t="str">
        <f>IF($P52="","",MCAin!$V68*$P52)</f>
        <v/>
      </c>
      <c r="AW52" s="345" t="str">
        <f>IF($Q52="","",MCAin!$V68*$Q52)</f>
        <v/>
      </c>
      <c r="AX52" s="345" t="str">
        <f>IF($R52="","",MCAin!$V68*$R52)</f>
        <v/>
      </c>
      <c r="AY52" s="347" t="str">
        <f>IF($S52="","",MCAin!$V68*$S52)</f>
        <v/>
      </c>
      <c r="AZ52" s="463" t="str">
        <f>IF($N52="","",MCAin!$W68*$N52)</f>
        <v/>
      </c>
      <c r="BA52" s="345" t="str">
        <f>IF($O52="","",MCAin!$W68*$O52)</f>
        <v/>
      </c>
      <c r="BB52" s="345" t="str">
        <f>IF($P52="","",MCAin!$W68*$P52)</f>
        <v/>
      </c>
      <c r="BC52" s="345" t="str">
        <f>IF($Q52="","",MCAin!$W68*$Q52)</f>
        <v/>
      </c>
      <c r="BD52" s="345" t="str">
        <f>IF($R52="","",MCAin!$W68*$R52)</f>
        <v/>
      </c>
      <c r="BE52" s="347" t="str">
        <f>IF($S52="","",MCAin!$W68*$S52)</f>
        <v/>
      </c>
      <c r="BF52" s="463" t="str">
        <f>IF($N52="","",MCAin!$X68*$N52)</f>
        <v/>
      </c>
      <c r="BG52" s="345" t="str">
        <f>IF($O52="","",MCAin!$X68*$O52)</f>
        <v/>
      </c>
      <c r="BH52" s="345" t="str">
        <f>IF($P52="","",MCAin!$X68*$P52)</f>
        <v/>
      </c>
      <c r="BI52" s="345" t="str">
        <f>IF($Q52="","",MCAin!$X68*$Q52)</f>
        <v/>
      </c>
      <c r="BJ52" s="345" t="str">
        <f>IF($R52="","",MCAin!$X68*$R52)</f>
        <v/>
      </c>
      <c r="BK52" s="347" t="str">
        <f>IF($S52="","",MCAin!$X68*$S52)</f>
        <v/>
      </c>
      <c r="BL52" s="463" t="str">
        <f>IF($N52="","",MCAin!$Y68*$N52)</f>
        <v/>
      </c>
      <c r="BM52" s="345" t="str">
        <f>IF($O52="","",MCAin!$Y68*$O52)</f>
        <v/>
      </c>
      <c r="BN52" s="345" t="str">
        <f>IF($P52="","",MCAin!$Y68*$P52)</f>
        <v/>
      </c>
      <c r="BO52" s="345" t="str">
        <f>IF($Q52="","",MCAin!$Y68*$Q52)</f>
        <v/>
      </c>
      <c r="BP52" s="345" t="str">
        <f>IF($R52="","",MCAin!$Y68*$R52)</f>
        <v/>
      </c>
      <c r="BQ52" s="347" t="str">
        <f>IF($S52="","",MCAin!$Y68*$S52)</f>
        <v/>
      </c>
      <c r="BR52" s="315"/>
      <c r="BS52" s="315"/>
      <c r="BT52" s="315"/>
      <c r="BU52" s="315"/>
      <c r="BV52" s="315"/>
      <c r="BW52" s="315"/>
      <c r="BX52" s="315"/>
      <c r="BY52" s="315"/>
      <c r="BZ52" s="315"/>
    </row>
    <row r="53" spans="1:78" ht="15" customHeight="1">
      <c r="A53" s="314"/>
      <c r="B53" s="110" t="s">
        <v>296</v>
      </c>
      <c r="C53" s="316"/>
      <c r="D53" s="319"/>
      <c r="E53" s="319"/>
      <c r="F53" s="319"/>
      <c r="G53" s="319"/>
      <c r="H53" s="319"/>
      <c r="I53" s="319"/>
      <c r="J53" s="484">
        <f>IF(MCAin!O69="","",MCAin!O69)</f>
        <v>60</v>
      </c>
      <c r="K53" s="484">
        <f>IF(MCAin!P69="","",MCAin!P69)</f>
        <v>1</v>
      </c>
      <c r="L53" s="314"/>
      <c r="M53" s="534" t="str">
        <f>IF(AND(COUNTIF(D53:I53,"&gt;=0")=$D$1,J53&gt;=0,K53&gt;=0,MCAin!$Q69=""),1,"")</f>
        <v/>
      </c>
      <c r="N53" s="343" t="str">
        <f t="shared" si="6"/>
        <v/>
      </c>
      <c r="O53" s="343" t="str">
        <f t="shared" si="6"/>
        <v/>
      </c>
      <c r="P53" s="343" t="str">
        <f t="shared" si="6"/>
        <v/>
      </c>
      <c r="Q53" s="343" t="str">
        <f t="shared" si="6"/>
        <v/>
      </c>
      <c r="R53" s="343" t="str">
        <f t="shared" si="6"/>
        <v/>
      </c>
      <c r="S53" s="343" t="str">
        <f t="shared" si="6"/>
        <v/>
      </c>
      <c r="T53" s="343"/>
      <c r="U53" s="344"/>
      <c r="V53" s="463" t="str">
        <f>IF($N53="","",MCAin!$R69*$N53)</f>
        <v/>
      </c>
      <c r="W53" s="345" t="str">
        <f>IF($O53="","",MCAin!$R69*$O53)</f>
        <v/>
      </c>
      <c r="X53" s="345" t="str">
        <f>IF($P53="","",MCAin!$R69*$P53)</f>
        <v/>
      </c>
      <c r="Y53" s="345" t="str">
        <f>IF($Q53="","",MCAin!$R69*$Q53)</f>
        <v/>
      </c>
      <c r="Z53" s="345" t="str">
        <f>IF($R53="","",MCAin!$R69*$R53)</f>
        <v/>
      </c>
      <c r="AA53" s="347" t="str">
        <f>IF($S53="","",MCAin!$R69*$S53)</f>
        <v/>
      </c>
      <c r="AB53" s="463" t="str">
        <f>IF($N53="","",MCAin!$S69*$N53)</f>
        <v/>
      </c>
      <c r="AC53" s="345" t="str">
        <f>IF($O53="","",MCAin!$S69*$O53)</f>
        <v/>
      </c>
      <c r="AD53" s="345" t="str">
        <f>IF($P53="","",MCAin!$S69*$P53)</f>
        <v/>
      </c>
      <c r="AE53" s="345" t="str">
        <f>IF($Q53="","",MCAin!$R69*$Q53)</f>
        <v/>
      </c>
      <c r="AF53" s="345" t="str">
        <f>IF($R53="","",MCAin!$R69*$R53)</f>
        <v/>
      </c>
      <c r="AG53" s="347" t="str">
        <f>IF($S53="","",MCAin!$S69*$S53)</f>
        <v/>
      </c>
      <c r="AH53" s="463" t="str">
        <f>IF($N53="","",MCAin!$T69*$N53)</f>
        <v/>
      </c>
      <c r="AI53" s="345" t="str">
        <f>IF($O53="","",MCAin!$T69*$O53)</f>
        <v/>
      </c>
      <c r="AJ53" s="345" t="str">
        <f>IF($P53="","",MCAin!$T69*$P53)</f>
        <v/>
      </c>
      <c r="AK53" s="345" t="str">
        <f>IF($Q53="","",MCAin!$T69*$Q53)</f>
        <v/>
      </c>
      <c r="AL53" s="345" t="str">
        <f>IF($R53="","",MCAin!$R69*$R53)</f>
        <v/>
      </c>
      <c r="AM53" s="347" t="str">
        <f>IF($S53="","",MCAin!$S69*$S53)</f>
        <v/>
      </c>
      <c r="AN53" s="463" t="str">
        <f>IF($N53="","",MCAin!$U69*$N53)</f>
        <v/>
      </c>
      <c r="AO53" s="345" t="str">
        <f>IF($O53="","",MCAin!$U69*$O53)</f>
        <v/>
      </c>
      <c r="AP53" s="345" t="str">
        <f>IF($P53="","",MCAin!$U69*$P53)</f>
        <v/>
      </c>
      <c r="AQ53" s="345" t="str">
        <f>IF($Q53="","",MCAin!$U69*$Q53)</f>
        <v/>
      </c>
      <c r="AR53" s="345" t="str">
        <f>IF($R53="","",MCAin!$U69*$R53)</f>
        <v/>
      </c>
      <c r="AS53" s="347" t="str">
        <f>IF($S53="","",MCAin!$U69*$S53)</f>
        <v/>
      </c>
      <c r="AT53" s="463" t="str">
        <f>IF($N53="","",MCAin!$V69*$N53)</f>
        <v/>
      </c>
      <c r="AU53" s="345" t="str">
        <f>IF($O53="","",MCAin!$V69*$O53)</f>
        <v/>
      </c>
      <c r="AV53" s="345" t="str">
        <f>IF($P53="","",MCAin!$V69*$P53)</f>
        <v/>
      </c>
      <c r="AW53" s="345" t="str">
        <f>IF($Q53="","",MCAin!$V69*$Q53)</f>
        <v/>
      </c>
      <c r="AX53" s="345" t="str">
        <f>IF($R53="","",MCAin!$V69*$R53)</f>
        <v/>
      </c>
      <c r="AY53" s="347" t="str">
        <f>IF($S53="","",MCAin!$V69*$S53)</f>
        <v/>
      </c>
      <c r="AZ53" s="463" t="str">
        <f>IF($N53="","",MCAin!$W69*$N53)</f>
        <v/>
      </c>
      <c r="BA53" s="345" t="str">
        <f>IF($O53="","",MCAin!$W69*$O53)</f>
        <v/>
      </c>
      <c r="BB53" s="345" t="str">
        <f>IF($P53="","",MCAin!$W69*$P53)</f>
        <v/>
      </c>
      <c r="BC53" s="345" t="str">
        <f>IF($Q53="","",MCAin!$W69*$Q53)</f>
        <v/>
      </c>
      <c r="BD53" s="345" t="str">
        <f>IF($R53="","",MCAin!$W69*$R53)</f>
        <v/>
      </c>
      <c r="BE53" s="347" t="str">
        <f>IF($S53="","",MCAin!$W69*$S53)</f>
        <v/>
      </c>
      <c r="BF53" s="463" t="str">
        <f>IF($N53="","",MCAin!$X69*$N53)</f>
        <v/>
      </c>
      <c r="BG53" s="345" t="str">
        <f>IF($O53="","",MCAin!$X69*$O53)</f>
        <v/>
      </c>
      <c r="BH53" s="345" t="str">
        <f>IF($P53="","",MCAin!$X69*$P53)</f>
        <v/>
      </c>
      <c r="BI53" s="345" t="str">
        <f>IF($Q53="","",MCAin!$X69*$Q53)</f>
        <v/>
      </c>
      <c r="BJ53" s="345" t="str">
        <f>IF($R53="","",MCAin!$X69*$R53)</f>
        <v/>
      </c>
      <c r="BK53" s="347" t="str">
        <f>IF($S53="","",MCAin!$X69*$S53)</f>
        <v/>
      </c>
      <c r="BL53" s="463" t="str">
        <f>IF($N53="","",MCAin!$Y69*$N53)</f>
        <v/>
      </c>
      <c r="BM53" s="345" t="str">
        <f>IF($O53="","",MCAin!$Y69*$O53)</f>
        <v/>
      </c>
      <c r="BN53" s="345" t="str">
        <f>IF($P53="","",MCAin!$Y69*$P53)</f>
        <v/>
      </c>
      <c r="BO53" s="345" t="str">
        <f>IF($Q53="","",MCAin!$Y69*$Q53)</f>
        <v/>
      </c>
      <c r="BP53" s="345" t="str">
        <f>IF($R53="","",MCAin!$Y69*$R53)</f>
        <v/>
      </c>
      <c r="BQ53" s="347" t="str">
        <f>IF($S53="","",MCAin!$Y69*$S53)</f>
        <v/>
      </c>
      <c r="BR53" s="315"/>
      <c r="BS53" s="315"/>
      <c r="BT53" s="315"/>
      <c r="BU53" s="315"/>
      <c r="BV53" s="315"/>
      <c r="BW53" s="315"/>
      <c r="BX53" s="315"/>
      <c r="BY53" s="315"/>
      <c r="BZ53" s="315"/>
    </row>
    <row r="54" spans="1:78" ht="15" customHeight="1">
      <c r="A54" s="314"/>
      <c r="B54" s="110" t="str">
        <f>PTAout!D90</f>
        <v>Delays</v>
      </c>
      <c r="C54" s="316"/>
      <c r="D54" s="234" t="str">
        <f>PTAout!H90</f>
        <v/>
      </c>
      <c r="E54" s="234" t="str">
        <f>PTAout!L90</f>
        <v/>
      </c>
      <c r="F54" s="234" t="str">
        <f>PTAout!Q90</f>
        <v/>
      </c>
      <c r="G54" s="234" t="str">
        <f>PTAout!V90</f>
        <v/>
      </c>
      <c r="H54" s="234" t="str">
        <f>PTAout!AA90</f>
        <v/>
      </c>
      <c r="I54" s="234" t="str">
        <f>PTAout!AF90</f>
        <v/>
      </c>
      <c r="J54" s="484">
        <f>IF(MCAin!O70="","",MCAin!O70)</f>
        <v>1.5</v>
      </c>
      <c r="K54" s="484">
        <f>IF(MCAin!P70="","",MCAin!P70)</f>
        <v>0</v>
      </c>
      <c r="L54" s="314"/>
      <c r="M54" s="534" t="str">
        <f>IF(AND(COUNTIF(D54:I54,"&gt;=0")=$D$1,J54&gt;=0,K54&gt;=0,MCAin!$Q70=""),1,"")</f>
        <v/>
      </c>
      <c r="N54" s="343" t="str">
        <f t="shared" si="6"/>
        <v/>
      </c>
      <c r="O54" s="343" t="str">
        <f t="shared" si="6"/>
        <v/>
      </c>
      <c r="P54" s="343" t="str">
        <f t="shared" si="6"/>
        <v/>
      </c>
      <c r="Q54" s="343" t="str">
        <f t="shared" si="6"/>
        <v/>
      </c>
      <c r="R54" s="343" t="str">
        <f t="shared" si="6"/>
        <v/>
      </c>
      <c r="S54" s="343" t="str">
        <f t="shared" si="6"/>
        <v/>
      </c>
      <c r="T54" s="343"/>
      <c r="U54" s="344"/>
      <c r="V54" s="463" t="str">
        <f>IF($N54="","",MCAin!$R70*$N54)</f>
        <v/>
      </c>
      <c r="W54" s="345" t="str">
        <f>IF($O54="","",MCAin!$R70*$O54)</f>
        <v/>
      </c>
      <c r="X54" s="345" t="str">
        <f>IF($P54="","",MCAin!$R70*$P54)</f>
        <v/>
      </c>
      <c r="Y54" s="345" t="str">
        <f>IF($Q54="","",MCAin!$R70*$Q54)</f>
        <v/>
      </c>
      <c r="Z54" s="345" t="str">
        <f>IF($R54="","",MCAin!$R70*$R54)</f>
        <v/>
      </c>
      <c r="AA54" s="347" t="str">
        <f>IF($S54="","",MCAin!$R70*$S54)</f>
        <v/>
      </c>
      <c r="AB54" s="463" t="str">
        <f>IF($N54="","",MCAin!$S70*$N54)</f>
        <v/>
      </c>
      <c r="AC54" s="345" t="str">
        <f>IF($O54="","",MCAin!$S70*$O54)</f>
        <v/>
      </c>
      <c r="AD54" s="345" t="str">
        <f>IF($P54="","",MCAin!$S70*$P54)</f>
        <v/>
      </c>
      <c r="AE54" s="345" t="str">
        <f>IF($Q54="","",MCAin!$R70*$Q54)</f>
        <v/>
      </c>
      <c r="AF54" s="345" t="str">
        <f>IF($R54="","",MCAin!$R70*$R54)</f>
        <v/>
      </c>
      <c r="AG54" s="347" t="str">
        <f>IF($S54="","",MCAin!$S70*$S54)</f>
        <v/>
      </c>
      <c r="AH54" s="463" t="str">
        <f>IF($N54="","",MCAin!$T70*$N54)</f>
        <v/>
      </c>
      <c r="AI54" s="345" t="str">
        <f>IF($O54="","",MCAin!$T70*$O54)</f>
        <v/>
      </c>
      <c r="AJ54" s="345" t="str">
        <f>IF($P54="","",MCAin!$T70*$P54)</f>
        <v/>
      </c>
      <c r="AK54" s="345" t="str">
        <f>IF($Q54="","",MCAin!$T70*$Q54)</f>
        <v/>
      </c>
      <c r="AL54" s="345" t="str">
        <f>IF($R54="","",MCAin!$R70*$R54)</f>
        <v/>
      </c>
      <c r="AM54" s="347" t="str">
        <f>IF($S54="","",MCAin!$S70*$S54)</f>
        <v/>
      </c>
      <c r="AN54" s="463" t="str">
        <f>IF($N54="","",MCAin!$U70*$N54)</f>
        <v/>
      </c>
      <c r="AO54" s="345" t="str">
        <f>IF($O54="","",MCAin!$U70*$O54)</f>
        <v/>
      </c>
      <c r="AP54" s="345" t="str">
        <f>IF($P54="","",MCAin!$U70*$P54)</f>
        <v/>
      </c>
      <c r="AQ54" s="345" t="str">
        <f>IF($Q54="","",MCAin!$U70*$Q54)</f>
        <v/>
      </c>
      <c r="AR54" s="345" t="str">
        <f>IF($R54="","",MCAin!$U70*$R54)</f>
        <v/>
      </c>
      <c r="AS54" s="347" t="str">
        <f>IF($S54="","",MCAin!$U70*$S54)</f>
        <v/>
      </c>
      <c r="AT54" s="463" t="str">
        <f>IF($N54="","",MCAin!$V70*$N54)</f>
        <v/>
      </c>
      <c r="AU54" s="345" t="str">
        <f>IF($O54="","",MCAin!$V70*$O54)</f>
        <v/>
      </c>
      <c r="AV54" s="345" t="str">
        <f>IF($P54="","",MCAin!$V70*$P54)</f>
        <v/>
      </c>
      <c r="AW54" s="345" t="str">
        <f>IF($Q54="","",MCAin!$V70*$Q54)</f>
        <v/>
      </c>
      <c r="AX54" s="345" t="str">
        <f>IF($R54="","",MCAin!$V70*$R54)</f>
        <v/>
      </c>
      <c r="AY54" s="347" t="str">
        <f>IF($S54="","",MCAin!$V70*$S54)</f>
        <v/>
      </c>
      <c r="AZ54" s="463" t="str">
        <f>IF($N54="","",MCAin!$W70*$N54)</f>
        <v/>
      </c>
      <c r="BA54" s="345" t="str">
        <f>IF($O54="","",MCAin!$W70*$O54)</f>
        <v/>
      </c>
      <c r="BB54" s="345" t="str">
        <f>IF($P54="","",MCAin!$W70*$P54)</f>
        <v/>
      </c>
      <c r="BC54" s="345" t="str">
        <f>IF($Q54="","",MCAin!$W70*$Q54)</f>
        <v/>
      </c>
      <c r="BD54" s="345" t="str">
        <f>IF($R54="","",MCAin!$W70*$R54)</f>
        <v/>
      </c>
      <c r="BE54" s="347" t="str">
        <f>IF($S54="","",MCAin!$W70*$S54)</f>
        <v/>
      </c>
      <c r="BF54" s="463" t="str">
        <f>IF($N54="","",MCAin!$X70*$N54)</f>
        <v/>
      </c>
      <c r="BG54" s="345" t="str">
        <f>IF($O54="","",MCAin!$X70*$O54)</f>
        <v/>
      </c>
      <c r="BH54" s="345" t="str">
        <f>IF($P54="","",MCAin!$X70*$P54)</f>
        <v/>
      </c>
      <c r="BI54" s="345" t="str">
        <f>IF($Q54="","",MCAin!$X70*$Q54)</f>
        <v/>
      </c>
      <c r="BJ54" s="345" t="str">
        <f>IF($R54="","",MCAin!$X70*$R54)</f>
        <v/>
      </c>
      <c r="BK54" s="347" t="str">
        <f>IF($S54="","",MCAin!$X70*$S54)</f>
        <v/>
      </c>
      <c r="BL54" s="463" t="str">
        <f>IF($N54="","",MCAin!$Y70*$N54)</f>
        <v/>
      </c>
      <c r="BM54" s="345" t="str">
        <f>IF($O54="","",MCAin!$Y70*$O54)</f>
        <v/>
      </c>
      <c r="BN54" s="345" t="str">
        <f>IF($P54="","",MCAin!$Y70*$P54)</f>
        <v/>
      </c>
      <c r="BO54" s="345" t="str">
        <f>IF($Q54="","",MCAin!$Y70*$Q54)</f>
        <v/>
      </c>
      <c r="BP54" s="345" t="str">
        <f>IF($R54="","",MCAin!$Y70*$R54)</f>
        <v/>
      </c>
      <c r="BQ54" s="347" t="str">
        <f>IF($S54="","",MCAin!$Y70*$S54)</f>
        <v/>
      </c>
      <c r="BR54" s="315"/>
      <c r="BS54" s="315"/>
      <c r="BT54" s="315"/>
      <c r="BU54" s="315"/>
      <c r="BV54" s="315"/>
      <c r="BW54" s="315"/>
      <c r="BX54" s="315"/>
      <c r="BY54" s="315"/>
      <c r="BZ54" s="315"/>
    </row>
    <row r="55" spans="1:78" ht="15" customHeight="1">
      <c r="A55" s="314"/>
      <c r="B55" s="110" t="str">
        <f>PTAout!D91</f>
        <v>Reliability</v>
      </c>
      <c r="C55" s="316"/>
      <c r="D55" s="234" t="str">
        <f>PTAout!H91</f>
        <v/>
      </c>
      <c r="E55" s="234" t="str">
        <f>PTAout!L91</f>
        <v/>
      </c>
      <c r="F55" s="234" t="str">
        <f>PTAout!Q91</f>
        <v/>
      </c>
      <c r="G55" s="234" t="str">
        <f>PTAout!V91</f>
        <v/>
      </c>
      <c r="H55" s="234" t="str">
        <f>PTAout!AA91</f>
        <v/>
      </c>
      <c r="I55" s="234" t="str">
        <f>PTAout!AF91</f>
        <v/>
      </c>
      <c r="J55" s="484" t="str">
        <f>IF(MCAin!O71="","",MCAin!O71)</f>
        <v/>
      </c>
      <c r="K55" s="484" t="str">
        <f>IF(MCAin!P71="","",MCAin!P71)</f>
        <v/>
      </c>
      <c r="L55" s="314"/>
      <c r="M55" s="534" t="str">
        <f>IF(AND(COUNTIF(D55:I55,"&gt;=0")=$D$1,J55&gt;=0,K55&gt;=0,MCAin!$Q71=""),1,"")</f>
        <v/>
      </c>
      <c r="N55" s="343" t="str">
        <f t="shared" si="6"/>
        <v/>
      </c>
      <c r="O55" s="343" t="str">
        <f t="shared" si="6"/>
        <v/>
      </c>
      <c r="P55" s="343" t="str">
        <f t="shared" si="6"/>
        <v/>
      </c>
      <c r="Q55" s="343" t="str">
        <f t="shared" si="6"/>
        <v/>
      </c>
      <c r="R55" s="343" t="str">
        <f t="shared" si="6"/>
        <v/>
      </c>
      <c r="S55" s="343" t="str">
        <f t="shared" si="6"/>
        <v/>
      </c>
      <c r="T55" s="343"/>
      <c r="U55" s="344"/>
      <c r="V55" s="463" t="str">
        <f>IF($N55="","",MCAin!$R71*$N55)</f>
        <v/>
      </c>
      <c r="W55" s="345" t="str">
        <f>IF($O55="","",MCAin!$R71*$O55)</f>
        <v/>
      </c>
      <c r="X55" s="345" t="str">
        <f>IF($P55="","",MCAin!$R71*$P55)</f>
        <v/>
      </c>
      <c r="Y55" s="345" t="str">
        <f>IF($Q55="","",MCAin!$R71*$Q55)</f>
        <v/>
      </c>
      <c r="Z55" s="345" t="str">
        <f>IF($R55="","",MCAin!$R71*$R55)</f>
        <v/>
      </c>
      <c r="AA55" s="347" t="str">
        <f>IF($S55="","",MCAin!$R71*$S55)</f>
        <v/>
      </c>
      <c r="AB55" s="463" t="str">
        <f>IF($N55="","",MCAin!$S71*$N55)</f>
        <v/>
      </c>
      <c r="AC55" s="345" t="str">
        <f>IF($O55="","",MCAin!$S71*$O55)</f>
        <v/>
      </c>
      <c r="AD55" s="345" t="str">
        <f>IF($P55="","",MCAin!$S71*$P55)</f>
        <v/>
      </c>
      <c r="AE55" s="345" t="str">
        <f>IF($Q55="","",MCAin!$R71*$Q55)</f>
        <v/>
      </c>
      <c r="AF55" s="345" t="str">
        <f>IF($R55="","",MCAin!$R71*$R55)</f>
        <v/>
      </c>
      <c r="AG55" s="347" t="str">
        <f>IF($S55="","",MCAin!$S71*$S55)</f>
        <v/>
      </c>
      <c r="AH55" s="463" t="str">
        <f>IF($N55="","",MCAin!$T71*$N55)</f>
        <v/>
      </c>
      <c r="AI55" s="345" t="str">
        <f>IF($O55="","",MCAin!$T71*$O55)</f>
        <v/>
      </c>
      <c r="AJ55" s="345" t="str">
        <f>IF($P55="","",MCAin!$T71*$P55)</f>
        <v/>
      </c>
      <c r="AK55" s="345" t="str">
        <f>IF($Q55="","",MCAin!$T71*$Q55)</f>
        <v/>
      </c>
      <c r="AL55" s="345" t="str">
        <f>IF($R55="","",MCAin!$R71*$R55)</f>
        <v/>
      </c>
      <c r="AM55" s="347" t="str">
        <f>IF($S55="","",MCAin!$S71*$S55)</f>
        <v/>
      </c>
      <c r="AN55" s="463" t="str">
        <f>IF($N55="","",MCAin!$U71*$N55)</f>
        <v/>
      </c>
      <c r="AO55" s="345" t="str">
        <f>IF($O55="","",MCAin!$U71*$O55)</f>
        <v/>
      </c>
      <c r="AP55" s="345" t="str">
        <f>IF($P55="","",MCAin!$U71*$P55)</f>
        <v/>
      </c>
      <c r="AQ55" s="345" t="str">
        <f>IF($Q55="","",MCAin!$U71*$Q55)</f>
        <v/>
      </c>
      <c r="AR55" s="345" t="str">
        <f>IF($R55="","",MCAin!$U71*$R55)</f>
        <v/>
      </c>
      <c r="AS55" s="347" t="str">
        <f>IF($S55="","",MCAin!$U71*$S55)</f>
        <v/>
      </c>
      <c r="AT55" s="463" t="str">
        <f>IF($N55="","",MCAin!$V71*$N55)</f>
        <v/>
      </c>
      <c r="AU55" s="345" t="str">
        <f>IF($O55="","",MCAin!$V71*$O55)</f>
        <v/>
      </c>
      <c r="AV55" s="345" t="str">
        <f>IF($P55="","",MCAin!$V71*$P55)</f>
        <v/>
      </c>
      <c r="AW55" s="345" t="str">
        <f>IF($Q55="","",MCAin!$V71*$Q55)</f>
        <v/>
      </c>
      <c r="AX55" s="345" t="str">
        <f>IF($R55="","",MCAin!$V71*$R55)</f>
        <v/>
      </c>
      <c r="AY55" s="347" t="str">
        <f>IF($S55="","",MCAin!$V71*$S55)</f>
        <v/>
      </c>
      <c r="AZ55" s="463" t="str">
        <f>IF($N55="","",MCAin!$W71*$N55)</f>
        <v/>
      </c>
      <c r="BA55" s="345" t="str">
        <f>IF($O55="","",MCAin!$W71*$O55)</f>
        <v/>
      </c>
      <c r="BB55" s="345" t="str">
        <f>IF($P55="","",MCAin!$W71*$P55)</f>
        <v/>
      </c>
      <c r="BC55" s="345" t="str">
        <f>IF($Q55="","",MCAin!$W71*$Q55)</f>
        <v/>
      </c>
      <c r="BD55" s="345" t="str">
        <f>IF($R55="","",MCAin!$W71*$R55)</f>
        <v/>
      </c>
      <c r="BE55" s="347" t="str">
        <f>IF($S55="","",MCAin!$W71*$S55)</f>
        <v/>
      </c>
      <c r="BF55" s="463" t="str">
        <f>IF($N55="","",MCAin!$X71*$N55)</f>
        <v/>
      </c>
      <c r="BG55" s="345" t="str">
        <f>IF($O55="","",MCAin!$X71*$O55)</f>
        <v/>
      </c>
      <c r="BH55" s="345" t="str">
        <f>IF($P55="","",MCAin!$X71*$P55)</f>
        <v/>
      </c>
      <c r="BI55" s="345" t="str">
        <f>IF($Q55="","",MCAin!$X71*$Q55)</f>
        <v/>
      </c>
      <c r="BJ55" s="345" t="str">
        <f>IF($R55="","",MCAin!$X71*$R55)</f>
        <v/>
      </c>
      <c r="BK55" s="347" t="str">
        <f>IF($S55="","",MCAin!$X71*$S55)</f>
        <v/>
      </c>
      <c r="BL55" s="463" t="str">
        <f>IF($N55="","",MCAin!$Y71*$N55)</f>
        <v/>
      </c>
      <c r="BM55" s="345" t="str">
        <f>IF($O55="","",MCAin!$Y71*$O55)</f>
        <v/>
      </c>
      <c r="BN55" s="345" t="str">
        <f>IF($P55="","",MCAin!$Y71*$P55)</f>
        <v/>
      </c>
      <c r="BO55" s="345" t="str">
        <f>IF($Q55="","",MCAin!$Y71*$Q55)</f>
        <v/>
      </c>
      <c r="BP55" s="345" t="str">
        <f>IF($R55="","",MCAin!$Y71*$R55)</f>
        <v/>
      </c>
      <c r="BQ55" s="347" t="str">
        <f>IF($S55="","",MCAin!$Y71*$S55)</f>
        <v/>
      </c>
      <c r="BR55" s="315"/>
      <c r="BS55" s="315"/>
      <c r="BT55" s="315"/>
      <c r="BU55" s="315"/>
      <c r="BV55" s="315"/>
      <c r="BW55" s="315"/>
      <c r="BX55" s="315"/>
      <c r="BY55" s="315"/>
      <c r="BZ55" s="315"/>
    </row>
    <row r="56" spans="1:78" ht="15" customHeight="1">
      <c r="A56" s="320"/>
      <c r="B56" s="118" t="str">
        <f>PTAout!D92</f>
        <v>Trip quality</v>
      </c>
      <c r="C56" s="321"/>
      <c r="D56" s="323" t="str">
        <f>PTAout!H92</f>
        <v/>
      </c>
      <c r="E56" s="323" t="str">
        <f>PTAout!L92</f>
        <v/>
      </c>
      <c r="F56" s="323" t="str">
        <f>PTAout!Q92</f>
        <v/>
      </c>
      <c r="G56" s="323" t="str">
        <f>PTAout!V92</f>
        <v/>
      </c>
      <c r="H56" s="323" t="str">
        <f>PTAout!AA92</f>
        <v/>
      </c>
      <c r="I56" s="323" t="str">
        <f>PTAout!AF92</f>
        <v/>
      </c>
      <c r="J56" s="489">
        <f>IF(MCAin!O72="","",MCAin!O72)</f>
        <v>0</v>
      </c>
      <c r="K56" s="489">
        <f>IF(MCAin!P72="","",MCAin!P72)</f>
        <v>100</v>
      </c>
      <c r="L56" s="314"/>
      <c r="M56" s="534" t="str">
        <f>IF(AND(COUNTIF(D56:I56,"&gt;=0")=$D$1,J56&gt;=0,K56&gt;=0,MCAin!$Q72=""),1,"")</f>
        <v/>
      </c>
      <c r="N56" s="492" t="str">
        <f t="shared" si="6"/>
        <v/>
      </c>
      <c r="O56" s="492" t="str">
        <f t="shared" si="6"/>
        <v/>
      </c>
      <c r="P56" s="492" t="str">
        <f t="shared" si="6"/>
        <v/>
      </c>
      <c r="Q56" s="492" t="str">
        <f t="shared" si="6"/>
        <v/>
      </c>
      <c r="R56" s="492" t="str">
        <f t="shared" si="6"/>
        <v/>
      </c>
      <c r="S56" s="492" t="str">
        <f t="shared" si="6"/>
        <v/>
      </c>
      <c r="T56" s="343"/>
      <c r="U56" s="344"/>
      <c r="V56" s="495" t="str">
        <f>IF($N56="","",MCAin!$R72*$N56)</f>
        <v/>
      </c>
      <c r="W56" s="496" t="str">
        <f>IF($O56="","",MCAin!$R72*$O56)</f>
        <v/>
      </c>
      <c r="X56" s="496" t="str">
        <f>IF($P56="","",MCAin!$R72*$P56)</f>
        <v/>
      </c>
      <c r="Y56" s="496" t="str">
        <f>IF($Q56="","",MCAin!$R72*$Q56)</f>
        <v/>
      </c>
      <c r="Z56" s="496" t="str">
        <f>IF($R56="","",MCAin!$R72*$R56)</f>
        <v/>
      </c>
      <c r="AA56" s="497" t="str">
        <f>IF($S56="","",MCAin!$R72*$S56)</f>
        <v/>
      </c>
      <c r="AB56" s="495" t="str">
        <f>IF($N56="","",MCAin!$S72*$N56)</f>
        <v/>
      </c>
      <c r="AC56" s="496" t="str">
        <f>IF($O56="","",MCAin!$S72*$O56)</f>
        <v/>
      </c>
      <c r="AD56" s="496" t="str">
        <f>IF($P56="","",MCAin!$S72*$P56)</f>
        <v/>
      </c>
      <c r="AE56" s="496" t="str">
        <f>IF($Q56="","",MCAin!$R72*$Q56)</f>
        <v/>
      </c>
      <c r="AF56" s="496" t="str">
        <f>IF($R56="","",MCAin!$R72*$R56)</f>
        <v/>
      </c>
      <c r="AG56" s="497" t="str">
        <f>IF($S56="","",MCAin!$S72*$S56)</f>
        <v/>
      </c>
      <c r="AH56" s="495" t="str">
        <f>IF($N56="","",MCAin!$T72*$N56)</f>
        <v/>
      </c>
      <c r="AI56" s="496" t="str">
        <f>IF($O56="","",MCAin!$T72*$O56)</f>
        <v/>
      </c>
      <c r="AJ56" s="496" t="str">
        <f>IF($P56="","",MCAin!$T72*$P56)</f>
        <v/>
      </c>
      <c r="AK56" s="496" t="str">
        <f>IF($Q56="","",MCAin!$T72*$Q56)</f>
        <v/>
      </c>
      <c r="AL56" s="496" t="str">
        <f>IF($R56="","",MCAin!$R72*$R56)</f>
        <v/>
      </c>
      <c r="AM56" s="497" t="str">
        <f>IF($S56="","",MCAin!$S72*$S56)</f>
        <v/>
      </c>
      <c r="AN56" s="495" t="str">
        <f>IF($N56="","",MCAin!$U72*$N56)</f>
        <v/>
      </c>
      <c r="AO56" s="496" t="str">
        <f>IF($O56="","",MCAin!$U72*$O56)</f>
        <v/>
      </c>
      <c r="AP56" s="496" t="str">
        <f>IF($P56="","",MCAin!$U72*$P56)</f>
        <v/>
      </c>
      <c r="AQ56" s="496" t="str">
        <f>IF($Q56="","",MCAin!$U72*$Q56)</f>
        <v/>
      </c>
      <c r="AR56" s="496" t="str">
        <f>IF($R56="","",MCAin!$U72*$R56)</f>
        <v/>
      </c>
      <c r="AS56" s="497" t="str">
        <f>IF($S56="","",MCAin!$U72*$S56)</f>
        <v/>
      </c>
      <c r="AT56" s="495" t="str">
        <f>IF($N56="","",MCAin!$V72*$N56)</f>
        <v/>
      </c>
      <c r="AU56" s="496" t="str">
        <f>IF($O56="","",MCAin!$V72*$O56)</f>
        <v/>
      </c>
      <c r="AV56" s="496" t="str">
        <f>IF($P56="","",MCAin!$V72*$P56)</f>
        <v/>
      </c>
      <c r="AW56" s="496" t="str">
        <f>IF($Q56="","",MCAin!$V72*$Q56)</f>
        <v/>
      </c>
      <c r="AX56" s="496" t="str">
        <f>IF($R56="","",MCAin!$V72*$R56)</f>
        <v/>
      </c>
      <c r="AY56" s="497" t="str">
        <f>IF($S56="","",MCAin!$V72*$S56)</f>
        <v/>
      </c>
      <c r="AZ56" s="495" t="str">
        <f>IF($N56="","",MCAin!$W72*$N56)</f>
        <v/>
      </c>
      <c r="BA56" s="496" t="str">
        <f>IF($O56="","",MCAin!$W72*$O56)</f>
        <v/>
      </c>
      <c r="BB56" s="496" t="str">
        <f>IF($P56="","",MCAin!$W72*$P56)</f>
        <v/>
      </c>
      <c r="BC56" s="496" t="str">
        <f>IF($Q56="","",MCAin!$W72*$Q56)</f>
        <v/>
      </c>
      <c r="BD56" s="496" t="str">
        <f>IF($R56="","",MCAin!$W72*$R56)</f>
        <v/>
      </c>
      <c r="BE56" s="497" t="str">
        <f>IF($S56="","",MCAin!$W72*$S56)</f>
        <v/>
      </c>
      <c r="BF56" s="495" t="str">
        <f>IF($N56="","",MCAin!$X72*$N56)</f>
        <v/>
      </c>
      <c r="BG56" s="496" t="str">
        <f>IF($O56="","",MCAin!$X72*$O56)</f>
        <v/>
      </c>
      <c r="BH56" s="496" t="str">
        <f>IF($P56="","",MCAin!$X72*$P56)</f>
        <v/>
      </c>
      <c r="BI56" s="496" t="str">
        <f>IF($Q56="","",MCAin!$X72*$Q56)</f>
        <v/>
      </c>
      <c r="BJ56" s="496" t="str">
        <f>IF($R56="","",MCAin!$X72*$R56)</f>
        <v/>
      </c>
      <c r="BK56" s="497" t="str">
        <f>IF($S56="","",MCAin!$X72*$S56)</f>
        <v/>
      </c>
      <c r="BL56" s="495" t="str">
        <f>IF($N56="","",MCAin!$Y72*$N56)</f>
        <v/>
      </c>
      <c r="BM56" s="496" t="str">
        <f>IF($O56="","",MCAin!$Y72*$O56)</f>
        <v/>
      </c>
      <c r="BN56" s="496" t="str">
        <f>IF($P56="","",MCAin!$Y72*$P56)</f>
        <v/>
      </c>
      <c r="BO56" s="496" t="str">
        <f>IF($Q56="","",MCAin!$Y72*$Q56)</f>
        <v/>
      </c>
      <c r="BP56" s="496" t="str">
        <f>IF($R56="","",MCAin!$Y72*$R56)</f>
        <v/>
      </c>
      <c r="BQ56" s="497" t="str">
        <f>IF($S56="","",MCAin!$Y72*$S56)</f>
        <v/>
      </c>
      <c r="BR56" s="315"/>
      <c r="BS56" s="315"/>
      <c r="BT56" s="315"/>
      <c r="BU56" s="315"/>
      <c r="BV56" s="315"/>
      <c r="BW56" s="315"/>
      <c r="BX56" s="315"/>
      <c r="BY56" s="315"/>
      <c r="BZ56" s="315"/>
    </row>
    <row r="57" spans="1:78" ht="15" customHeight="1">
      <c r="A57" s="498" t="str">
        <f>PTAout!C93</f>
        <v>Goods vehicles</v>
      </c>
      <c r="B57" s="499"/>
      <c r="C57" s="500"/>
      <c r="D57" s="501"/>
      <c r="E57" s="501"/>
      <c r="F57" s="501"/>
      <c r="G57" s="501"/>
      <c r="H57" s="501"/>
      <c r="I57" s="501"/>
      <c r="J57" s="502"/>
      <c r="K57" s="502"/>
      <c r="L57" s="503"/>
      <c r="M57" s="504"/>
      <c r="N57" s="504"/>
      <c r="O57" s="504"/>
      <c r="P57" s="504"/>
      <c r="Q57" s="504"/>
      <c r="R57" s="504"/>
      <c r="S57" s="504"/>
      <c r="T57" s="504"/>
      <c r="U57" s="504"/>
      <c r="V57" s="507" t="str">
        <f>IF($N57="","",$N57*MCAin!$R73)</f>
        <v/>
      </c>
      <c r="W57" s="508"/>
      <c r="X57" s="508" t="str">
        <f>IF($O57="","",$O57*MCAin!$R73)</f>
        <v/>
      </c>
      <c r="Y57" s="508" t="str">
        <f>IF($P57="","",$P57*MCAin!$R73)</f>
        <v/>
      </c>
      <c r="Z57" s="508" t="str">
        <f>IF($Q57="","",$Q57*MCAin!$R73)</f>
        <v/>
      </c>
      <c r="AA57" s="509" t="str">
        <f>IF($S57="","",$S57*MCAin!$R73)</f>
        <v/>
      </c>
      <c r="AB57" s="507" t="str">
        <f>IF($N57="","",$N57*MCAin!$S73)</f>
        <v/>
      </c>
      <c r="AC57" s="508"/>
      <c r="AD57" s="508" t="str">
        <f>IF($O57="","",$O57*MCAin!$S73)</f>
        <v/>
      </c>
      <c r="AE57" s="508" t="str">
        <f>IF($P57="","",$P57*MCAin!$R73)</f>
        <v/>
      </c>
      <c r="AF57" s="508" t="str">
        <f>IF($Q57="","",$Q57*MCAin!$R73)</f>
        <v/>
      </c>
      <c r="AG57" s="509" t="str">
        <f>IF($S57="","",$S57*MCAin!$S73)</f>
        <v/>
      </c>
      <c r="AH57" s="507" t="str">
        <f>IF($N57="","",$N57*MCAin!$T73)</f>
        <v/>
      </c>
      <c r="AI57" s="508"/>
      <c r="AJ57" s="508" t="str">
        <f>IF($O57="","",$O57*MCAin!$T73)</f>
        <v/>
      </c>
      <c r="AK57" s="508" t="str">
        <f>IF($P57="","",$P57*MCAin!$T73)</f>
        <v/>
      </c>
      <c r="AL57" s="508" t="str">
        <f>IF($Q57="","",$Q57*MCAin!$R73)</f>
        <v/>
      </c>
      <c r="AM57" s="509" t="str">
        <f>IF($S57="","",$S57*MCAin!$S73)</f>
        <v/>
      </c>
      <c r="AN57" s="507" t="str">
        <f>IF($N57="","",$N57*MCAin!$U73)</f>
        <v/>
      </c>
      <c r="AO57" s="508"/>
      <c r="AP57" s="508" t="str">
        <f>IF($O57="","",$O57*MCAin!$U73)</f>
        <v/>
      </c>
      <c r="AQ57" s="508" t="str">
        <f>IF($P57="","",$P57*MCAin!$U73)</f>
        <v/>
      </c>
      <c r="AR57" s="508" t="str">
        <f>IF($Q57="","",$Q57*MCAin!$S73)</f>
        <v/>
      </c>
      <c r="AS57" s="509" t="str">
        <f>IF($U57="","",$U57*MCAin!$T73)</f>
        <v/>
      </c>
      <c r="AT57" s="507" t="str">
        <f>IF($N57="","",$N57*MCAin!$V73)</f>
        <v/>
      </c>
      <c r="AU57" s="508"/>
      <c r="AV57" s="508" t="str">
        <f>IF($O57="","",$O57*MCAin!$V73)</f>
        <v/>
      </c>
      <c r="AW57" s="508" t="str">
        <f>IF($P57="","",$P57*MCAin!$V73)</f>
        <v/>
      </c>
      <c r="AX57" s="508" t="str">
        <f>IF($Q57="","",$Q57*MCAin!$V73)</f>
        <v/>
      </c>
      <c r="AY57" s="509" t="str">
        <f>IF($S57="","",$W57*MCAin!$V73)</f>
        <v/>
      </c>
      <c r="AZ57" s="507" t="str">
        <f>IF($N57="","",$N57*MCAin!$W73)</f>
        <v/>
      </c>
      <c r="BA57" s="508"/>
      <c r="BB57" s="508" t="str">
        <f>IF($O57="","",$O57*MCAin!$W73)</f>
        <v/>
      </c>
      <c r="BC57" s="508" t="str">
        <f>IF($P57="","",$P57*MCAin!$W73)</f>
        <v/>
      </c>
      <c r="BD57" s="508" t="str">
        <f>IF($Q57="","",$Q57*MCAin!$W73)</f>
        <v/>
      </c>
      <c r="BE57" s="509" t="str">
        <f>IF($X57="","",$X57*MCAin!$W73)</f>
        <v/>
      </c>
      <c r="BF57" s="507" t="str">
        <f>IF($N57="","",$N57*MCAin!$X73)</f>
        <v/>
      </c>
      <c r="BG57" s="508"/>
      <c r="BH57" s="508" t="str">
        <f>IF($O57="","",$O57*MCAin!$X73)</f>
        <v/>
      </c>
      <c r="BI57" s="508" t="str">
        <f>IF($P57="","",$P57*MCAin!$X73)</f>
        <v/>
      </c>
      <c r="BJ57" s="508" t="str">
        <f>IF($Q57="","",$Q57*MCAin!$X73)</f>
        <v/>
      </c>
      <c r="BK57" s="509" t="str">
        <f>IF($Y57="","",$Y57*MCAin!$X73)</f>
        <v/>
      </c>
      <c r="BL57" s="507" t="str">
        <f>IF($N57="","",$N57*MCAin!$Y73)</f>
        <v/>
      </c>
      <c r="BM57" s="508"/>
      <c r="BN57" s="508" t="str">
        <f>IF($O57="","",$O57*MCAin!$Y73)</f>
        <v/>
      </c>
      <c r="BO57" s="508" t="str">
        <f>IF($P57="","",$P57*MCAin!$Y73)</f>
        <v/>
      </c>
      <c r="BP57" s="508" t="str">
        <f>IF($Q57="","",$Q57*MCAin!$Y73)</f>
        <v/>
      </c>
      <c r="BQ57" s="509" t="str">
        <f>IF($Z57="","",$Z57*MCAin!$Y73)</f>
        <v/>
      </c>
      <c r="BR57" s="315"/>
      <c r="BS57" s="315"/>
      <c r="BT57" s="315"/>
      <c r="BU57" s="315"/>
      <c r="BV57" s="315"/>
      <c r="BW57" s="315"/>
      <c r="BX57" s="315"/>
      <c r="BY57" s="315"/>
      <c r="BZ57" s="315"/>
    </row>
    <row r="58" spans="1:78" ht="15" customHeight="1">
      <c r="A58" s="314"/>
      <c r="B58" s="110" t="str">
        <f>PTAout!D94</f>
        <v>Space</v>
      </c>
      <c r="C58" s="316"/>
      <c r="D58" s="318" t="str">
        <f>PTAout!H94</f>
        <v/>
      </c>
      <c r="E58" s="318" t="str">
        <f>PTAout!L94</f>
        <v/>
      </c>
      <c r="F58" s="318" t="str">
        <f>PTAout!Q94</f>
        <v/>
      </c>
      <c r="G58" s="318" t="str">
        <f>PTAout!V94</f>
        <v/>
      </c>
      <c r="H58" s="318" t="str">
        <f>PTAout!AA94</f>
        <v/>
      </c>
      <c r="I58" s="318" t="str">
        <f>PTAout!AF94</f>
        <v/>
      </c>
      <c r="J58" s="484">
        <f>IF(MCAin!O74="","",MCAin!O74)</f>
        <v>0</v>
      </c>
      <c r="K58" s="484">
        <f>IF(MCAin!P74="","",MCAin!P74)</f>
        <v>20</v>
      </c>
      <c r="L58" s="314"/>
      <c r="M58" s="534" t="str">
        <f>IF(AND(COUNTIF(D58:I58,"&gt;=0")=$D$1,J58&gt;=0,K58&gt;=0,MCAin!$Q74=""),1,"")</f>
        <v/>
      </c>
      <c r="N58" s="343" t="str">
        <f t="shared" ref="N58:S64" si="7">IF(OR($M58&lt;&gt;1,D58=""),"",(D58-$J58)/($K58-$J58))</f>
        <v/>
      </c>
      <c r="O58" s="343" t="str">
        <f t="shared" si="7"/>
        <v/>
      </c>
      <c r="P58" s="343" t="str">
        <f t="shared" si="7"/>
        <v/>
      </c>
      <c r="Q58" s="343" t="str">
        <f t="shared" si="7"/>
        <v/>
      </c>
      <c r="R58" s="343" t="str">
        <f t="shared" si="7"/>
        <v/>
      </c>
      <c r="S58" s="343" t="str">
        <f t="shared" si="7"/>
        <v/>
      </c>
      <c r="T58" s="343"/>
      <c r="U58" s="344"/>
      <c r="V58" s="463" t="str">
        <f>IF($N58="","",MCAin!$R74*$N58)</f>
        <v/>
      </c>
      <c r="W58" s="345" t="str">
        <f>IF($O58="","",MCAin!$R74*$O58)</f>
        <v/>
      </c>
      <c r="X58" s="345" t="str">
        <f>IF($P58="","",MCAin!$R74*$P58)</f>
        <v/>
      </c>
      <c r="Y58" s="345" t="str">
        <f>IF($Q58="","",MCAin!$R74*$Q58)</f>
        <v/>
      </c>
      <c r="Z58" s="345" t="str">
        <f>IF($R58="","",MCAin!$R74*$R58)</f>
        <v/>
      </c>
      <c r="AA58" s="347" t="str">
        <f>IF($S58="","",MCAin!$R74*$S58)</f>
        <v/>
      </c>
      <c r="AB58" s="463" t="str">
        <f>IF($N58="","",MCAin!$S74*$N58)</f>
        <v/>
      </c>
      <c r="AC58" s="345" t="str">
        <f>IF($O58="","",MCAin!$S74*$O58)</f>
        <v/>
      </c>
      <c r="AD58" s="345" t="str">
        <f>IF($P58="","",MCAin!$S74*$P58)</f>
        <v/>
      </c>
      <c r="AE58" s="345" t="str">
        <f>IF($Q58="","",MCAin!$R74*$Q58)</f>
        <v/>
      </c>
      <c r="AF58" s="345" t="str">
        <f>IF($R58="","",MCAin!$R74*$R58)</f>
        <v/>
      </c>
      <c r="AG58" s="347" t="str">
        <f>IF($S58="","",MCAin!$S74*$S58)</f>
        <v/>
      </c>
      <c r="AH58" s="463" t="str">
        <f>IF($N58="","",MCAin!$T74*$N58)</f>
        <v/>
      </c>
      <c r="AI58" s="345" t="str">
        <f>IF($O58="","",MCAin!$T74*$O58)</f>
        <v/>
      </c>
      <c r="AJ58" s="345" t="str">
        <f>IF($P58="","",MCAin!$T74*$P58)</f>
        <v/>
      </c>
      <c r="AK58" s="345" t="str">
        <f>IF($Q58="","",MCAin!$T74*$Q58)</f>
        <v/>
      </c>
      <c r="AL58" s="345" t="str">
        <f>IF($R58="","",MCAin!$R74*$R58)</f>
        <v/>
      </c>
      <c r="AM58" s="347" t="str">
        <f>IF($S58="","",MCAin!$S74*$S58)</f>
        <v/>
      </c>
      <c r="AN58" s="463" t="str">
        <f>IF($N58="","",MCAin!$U74*$N58)</f>
        <v/>
      </c>
      <c r="AO58" s="345" t="str">
        <f>IF($O58="","",MCAin!$U74*$O58)</f>
        <v/>
      </c>
      <c r="AP58" s="345" t="str">
        <f>IF($P58="","",MCAin!$U74*$P58)</f>
        <v/>
      </c>
      <c r="AQ58" s="345" t="str">
        <f>IF($Q58="","",MCAin!$U74*$Q58)</f>
        <v/>
      </c>
      <c r="AR58" s="345" t="str">
        <f>IF($R58="","",MCAin!$U74*$R58)</f>
        <v/>
      </c>
      <c r="AS58" s="347" t="str">
        <f>IF($S58="","",MCAin!$U74*$S58)</f>
        <v/>
      </c>
      <c r="AT58" s="463" t="str">
        <f>IF($N58="","",MCAin!$V74*$N58)</f>
        <v/>
      </c>
      <c r="AU58" s="345" t="str">
        <f>IF($O58="","",MCAin!$V74*$O58)</f>
        <v/>
      </c>
      <c r="AV58" s="345" t="str">
        <f>IF($P58="","",MCAin!$V74*$P58)</f>
        <v/>
      </c>
      <c r="AW58" s="345" t="str">
        <f>IF($Q58="","",MCAin!$V74*$Q58)</f>
        <v/>
      </c>
      <c r="AX58" s="345" t="str">
        <f>IF($R58="","",MCAin!$V74*$R58)</f>
        <v/>
      </c>
      <c r="AY58" s="347" t="str">
        <f>IF($S58="","",MCAin!$V74*$S58)</f>
        <v/>
      </c>
      <c r="AZ58" s="463" t="str">
        <f>IF($N58="","",MCAin!$W74*$N58)</f>
        <v/>
      </c>
      <c r="BA58" s="345" t="str">
        <f>IF($O58="","",MCAin!$W74*$O58)</f>
        <v/>
      </c>
      <c r="BB58" s="345" t="str">
        <f>IF($P58="","",MCAin!$W74*$P58)</f>
        <v/>
      </c>
      <c r="BC58" s="345" t="str">
        <f>IF($Q58="","",MCAin!$W74*$Q58)</f>
        <v/>
      </c>
      <c r="BD58" s="345" t="str">
        <f>IF($R58="","",MCAin!$W74*$R58)</f>
        <v/>
      </c>
      <c r="BE58" s="347" t="str">
        <f>IF($S58="","",MCAin!$W74*$S58)</f>
        <v/>
      </c>
      <c r="BF58" s="463" t="str">
        <f>IF($N58="","",MCAin!$X74*$N58)</f>
        <v/>
      </c>
      <c r="BG58" s="345" t="str">
        <f>IF($O58="","",MCAin!$X74*$O58)</f>
        <v/>
      </c>
      <c r="BH58" s="345" t="str">
        <f>IF($P58="","",MCAin!$X74*$P58)</f>
        <v/>
      </c>
      <c r="BI58" s="345" t="str">
        <f>IF($Q58="","",MCAin!$X74*$Q58)</f>
        <v/>
      </c>
      <c r="BJ58" s="345" t="str">
        <f>IF($R58="","",MCAin!$X74*$R58)</f>
        <v/>
      </c>
      <c r="BK58" s="347" t="str">
        <f>IF($S58="","",MCAin!$X74*$S58)</f>
        <v/>
      </c>
      <c r="BL58" s="463" t="str">
        <f>IF($N58="","",MCAin!$Y74*$N58)</f>
        <v/>
      </c>
      <c r="BM58" s="345" t="str">
        <f>IF($O58="","",MCAin!$Y74*$O58)</f>
        <v/>
      </c>
      <c r="BN58" s="345" t="str">
        <f>IF($P58="","",MCAin!$Y74*$P58)</f>
        <v/>
      </c>
      <c r="BO58" s="345" t="str">
        <f>IF($Q58="","",MCAin!$Y74*$Q58)</f>
        <v/>
      </c>
      <c r="BP58" s="345" t="str">
        <f>IF($R58="","",MCAin!$Y74*$R58)</f>
        <v/>
      </c>
      <c r="BQ58" s="347" t="str">
        <f>IF($S58="","",MCAin!$Y74*$S58)</f>
        <v/>
      </c>
      <c r="BR58" s="315"/>
      <c r="BS58" s="315"/>
      <c r="BT58" s="315"/>
      <c r="BU58" s="315"/>
      <c r="BV58" s="315"/>
      <c r="BW58" s="315"/>
      <c r="BX58" s="315"/>
      <c r="BY58" s="315"/>
      <c r="BZ58" s="315"/>
    </row>
    <row r="59" spans="1:78" ht="15" customHeight="1">
      <c r="A59" s="314"/>
      <c r="B59" s="110" t="str">
        <f>PTAout!D95</f>
        <v>Volume</v>
      </c>
      <c r="C59" s="316"/>
      <c r="D59" s="318" t="str">
        <f>PTAout!H95</f>
        <v/>
      </c>
      <c r="E59" s="318" t="str">
        <f>PTAout!L95</f>
        <v/>
      </c>
      <c r="F59" s="318" t="str">
        <f>PTAout!Q95</f>
        <v/>
      </c>
      <c r="G59" s="318" t="str">
        <f>PTAout!V95</f>
        <v/>
      </c>
      <c r="H59" s="318" t="str">
        <f>PTAout!AA95</f>
        <v/>
      </c>
      <c r="I59" s="318" t="str">
        <f>PTAout!AF95</f>
        <v/>
      </c>
      <c r="J59" s="484">
        <f>IF(MCAin!O75="","",MCAin!O75)</f>
        <v>0</v>
      </c>
      <c r="K59" s="484">
        <f>IF(MCAin!P75="","",MCAin!P75)</f>
        <v>40000</v>
      </c>
      <c r="L59" s="314"/>
      <c r="M59" s="534" t="str">
        <f>IF(AND(COUNTIF(D59:I59,"&gt;=0")=$D$1,J59&gt;=0,K59&gt;=0,MCAin!$Q75=""),1,"")</f>
        <v/>
      </c>
      <c r="N59" s="343" t="str">
        <f t="shared" si="7"/>
        <v/>
      </c>
      <c r="O59" s="343" t="str">
        <f t="shared" si="7"/>
        <v/>
      </c>
      <c r="P59" s="343" t="str">
        <f t="shared" si="7"/>
        <v/>
      </c>
      <c r="Q59" s="343" t="str">
        <f t="shared" si="7"/>
        <v/>
      </c>
      <c r="R59" s="343" t="str">
        <f t="shared" si="7"/>
        <v/>
      </c>
      <c r="S59" s="343" t="str">
        <f t="shared" si="7"/>
        <v/>
      </c>
      <c r="T59" s="343"/>
      <c r="U59" s="344"/>
      <c r="V59" s="463" t="str">
        <f>IF($N59="","",MCAin!$R75*$N59)</f>
        <v/>
      </c>
      <c r="W59" s="345" t="str">
        <f>IF($O59="","",MCAin!$R75*$O59)</f>
        <v/>
      </c>
      <c r="X59" s="345" t="str">
        <f>IF($P59="","",MCAin!$R75*$P59)</f>
        <v/>
      </c>
      <c r="Y59" s="345" t="str">
        <f>IF($Q59="","",MCAin!$R75*$Q59)</f>
        <v/>
      </c>
      <c r="Z59" s="345" t="str">
        <f>IF($R59="","",MCAin!$R75*$R59)</f>
        <v/>
      </c>
      <c r="AA59" s="347" t="str">
        <f>IF($S59="","",MCAin!$R75*$S59)</f>
        <v/>
      </c>
      <c r="AB59" s="463" t="str">
        <f>IF($N59="","",MCAin!$S75*$N59)</f>
        <v/>
      </c>
      <c r="AC59" s="345" t="str">
        <f>IF($O59="","",MCAin!$S75*$O59)</f>
        <v/>
      </c>
      <c r="AD59" s="345" t="str">
        <f>IF($P59="","",MCAin!$S75*$P59)</f>
        <v/>
      </c>
      <c r="AE59" s="345" t="str">
        <f>IF($Q59="","",MCAin!$R75*$Q59)</f>
        <v/>
      </c>
      <c r="AF59" s="345" t="str">
        <f>IF($R59="","",MCAin!$R75*$R59)</f>
        <v/>
      </c>
      <c r="AG59" s="347" t="str">
        <f>IF($S59="","",MCAin!$S75*$S59)</f>
        <v/>
      </c>
      <c r="AH59" s="463" t="str">
        <f>IF($N59="","",MCAin!$T75*$N59)</f>
        <v/>
      </c>
      <c r="AI59" s="345" t="str">
        <f>IF($O59="","",MCAin!$T75*$O59)</f>
        <v/>
      </c>
      <c r="AJ59" s="345" t="str">
        <f>IF($P59="","",MCAin!$T75*$P59)</f>
        <v/>
      </c>
      <c r="AK59" s="345" t="str">
        <f>IF($Q59="","",MCAin!$T75*$Q59)</f>
        <v/>
      </c>
      <c r="AL59" s="345" t="str">
        <f>IF($R59="","",MCAin!$R75*$R59)</f>
        <v/>
      </c>
      <c r="AM59" s="347" t="str">
        <f>IF($S59="","",MCAin!$S75*$S59)</f>
        <v/>
      </c>
      <c r="AN59" s="463" t="str">
        <f>IF($N59="","",MCAin!$U75*$N59)</f>
        <v/>
      </c>
      <c r="AO59" s="345" t="str">
        <f>IF($O59="","",MCAin!$U75*$O59)</f>
        <v/>
      </c>
      <c r="AP59" s="345" t="str">
        <f>IF($P59="","",MCAin!$U75*$P59)</f>
        <v/>
      </c>
      <c r="AQ59" s="345" t="str">
        <f>IF($Q59="","",MCAin!$U75*$Q59)</f>
        <v/>
      </c>
      <c r="AR59" s="345" t="str">
        <f>IF($R59="","",MCAin!$U75*$R59)</f>
        <v/>
      </c>
      <c r="AS59" s="347" t="str">
        <f>IF($S59="","",MCAin!$U75*$S59)</f>
        <v/>
      </c>
      <c r="AT59" s="463" t="str">
        <f>IF($N59="","",MCAin!$V75*$N59)</f>
        <v/>
      </c>
      <c r="AU59" s="345" t="str">
        <f>IF($O59="","",MCAin!$V75*$O59)</f>
        <v/>
      </c>
      <c r="AV59" s="345" t="str">
        <f>IF($P59="","",MCAin!$V75*$P59)</f>
        <v/>
      </c>
      <c r="AW59" s="345" t="str">
        <f>IF($Q59="","",MCAin!$V75*$Q59)</f>
        <v/>
      </c>
      <c r="AX59" s="345" t="str">
        <f>IF($R59="","",MCAin!$V75*$R59)</f>
        <v/>
      </c>
      <c r="AY59" s="347" t="str">
        <f>IF($S59="","",MCAin!$V75*$S59)</f>
        <v/>
      </c>
      <c r="AZ59" s="463" t="str">
        <f>IF($N59="","",MCAin!$W75*$N59)</f>
        <v/>
      </c>
      <c r="BA59" s="345" t="str">
        <f>IF($O59="","",MCAin!$W75*$O59)</f>
        <v/>
      </c>
      <c r="BB59" s="345" t="str">
        <f>IF($P59="","",MCAin!$W75*$P59)</f>
        <v/>
      </c>
      <c r="BC59" s="345" t="str">
        <f>IF($Q59="","",MCAin!$W75*$Q59)</f>
        <v/>
      </c>
      <c r="BD59" s="345" t="str">
        <f>IF($R59="","",MCAin!$W75*$R59)</f>
        <v/>
      </c>
      <c r="BE59" s="347" t="str">
        <f>IF($S59="","",MCAin!$W75*$S59)</f>
        <v/>
      </c>
      <c r="BF59" s="463" t="str">
        <f>IF($N59="","",MCAin!$X75*$N59)</f>
        <v/>
      </c>
      <c r="BG59" s="345" t="str">
        <f>IF($O59="","",MCAin!$X75*$O59)</f>
        <v/>
      </c>
      <c r="BH59" s="345" t="str">
        <f>IF($P59="","",MCAin!$X75*$P59)</f>
        <v/>
      </c>
      <c r="BI59" s="345" t="str">
        <f>IF($Q59="","",MCAin!$X75*$Q59)</f>
        <v/>
      </c>
      <c r="BJ59" s="345" t="str">
        <f>IF($R59="","",MCAin!$X75*$R59)</f>
        <v/>
      </c>
      <c r="BK59" s="347" t="str">
        <f>IF($S59="","",MCAin!$X75*$S59)</f>
        <v/>
      </c>
      <c r="BL59" s="463" t="str">
        <f>IF($N59="","",MCAin!$Y75*$N59)</f>
        <v/>
      </c>
      <c r="BM59" s="345" t="str">
        <f>IF($O59="","",MCAin!$Y75*$O59)</f>
        <v/>
      </c>
      <c r="BN59" s="345" t="str">
        <f>IF($P59="","",MCAin!$Y75*$P59)</f>
        <v/>
      </c>
      <c r="BO59" s="345" t="str">
        <f>IF($Q59="","",MCAin!$Y75*$Q59)</f>
        <v/>
      </c>
      <c r="BP59" s="345" t="str">
        <f>IF($R59="","",MCAin!$Y75*$R59)</f>
        <v/>
      </c>
      <c r="BQ59" s="347" t="str">
        <f>IF($S59="","",MCAin!$Y75*$S59)</f>
        <v/>
      </c>
      <c r="BR59" s="315"/>
      <c r="BS59" s="315"/>
      <c r="BT59" s="315"/>
      <c r="BU59" s="315"/>
      <c r="BV59" s="315"/>
      <c r="BW59" s="315"/>
      <c r="BX59" s="315"/>
      <c r="BY59" s="315"/>
      <c r="BZ59" s="315"/>
    </row>
    <row r="60" spans="1:78" ht="15" customHeight="1">
      <c r="A60" s="314"/>
      <c r="B60" s="110" t="str">
        <f>PTAout!D96</f>
        <v>Speed</v>
      </c>
      <c r="C60" s="316"/>
      <c r="D60" s="234" t="str">
        <f>PTAout!H96</f>
        <v/>
      </c>
      <c r="E60" s="234" t="str">
        <f>PTAout!L96</f>
        <v/>
      </c>
      <c r="F60" s="234" t="str">
        <f>PTAout!Q96</f>
        <v/>
      </c>
      <c r="G60" s="234" t="str">
        <f>PTAout!V96</f>
        <v/>
      </c>
      <c r="H60" s="234" t="str">
        <f>PTAout!AA96</f>
        <v/>
      </c>
      <c r="I60" s="234" t="str">
        <f>PTAout!AF96</f>
        <v/>
      </c>
      <c r="J60" s="484">
        <f>IF(MCAin!O76="","",MCAin!O76)</f>
        <v>5</v>
      </c>
      <c r="K60" s="484">
        <f>IF(MCAin!P76="","",MCAin!P76)</f>
        <v>60</v>
      </c>
      <c r="L60" s="314"/>
      <c r="M60" s="534" t="str">
        <f>IF(AND(COUNTIF(D60:I60,"&gt;=0")=$D$1,J60&gt;=0,K60&gt;=0,MCAin!$Q76=""),1,"")</f>
        <v/>
      </c>
      <c r="N60" s="343" t="str">
        <f t="shared" si="7"/>
        <v/>
      </c>
      <c r="O60" s="343" t="str">
        <f t="shared" si="7"/>
        <v/>
      </c>
      <c r="P60" s="343" t="str">
        <f t="shared" si="7"/>
        <v/>
      </c>
      <c r="Q60" s="343" t="str">
        <f t="shared" si="7"/>
        <v/>
      </c>
      <c r="R60" s="343" t="str">
        <f t="shared" si="7"/>
        <v/>
      </c>
      <c r="S60" s="343" t="str">
        <f t="shared" si="7"/>
        <v/>
      </c>
      <c r="T60" s="343"/>
      <c r="U60" s="344"/>
      <c r="V60" s="463" t="str">
        <f>IF($N60="","",MCAin!$R76*$N60)</f>
        <v/>
      </c>
      <c r="W60" s="345" t="str">
        <f>IF($O60="","",MCAin!$R76*$O60)</f>
        <v/>
      </c>
      <c r="X60" s="345" t="str">
        <f>IF($P60="","",MCAin!$R76*$P60)</f>
        <v/>
      </c>
      <c r="Y60" s="345" t="str">
        <f>IF($Q60="","",MCAin!$R76*$Q60)</f>
        <v/>
      </c>
      <c r="Z60" s="345" t="str">
        <f>IF($R60="","",MCAin!$R76*$R60)</f>
        <v/>
      </c>
      <c r="AA60" s="347" t="str">
        <f>IF($S60="","",MCAin!$R76*$S60)</f>
        <v/>
      </c>
      <c r="AB60" s="463" t="str">
        <f>IF($N60="","",MCAin!$S76*$N60)</f>
        <v/>
      </c>
      <c r="AC60" s="345" t="str">
        <f>IF($O60="","",MCAin!$S76*$O60)</f>
        <v/>
      </c>
      <c r="AD60" s="345" t="str">
        <f>IF($P60="","",MCAin!$S76*$P60)</f>
        <v/>
      </c>
      <c r="AE60" s="345" t="str">
        <f>IF($Q60="","",MCAin!$R76*$Q60)</f>
        <v/>
      </c>
      <c r="AF60" s="345" t="str">
        <f>IF($R60="","",MCAin!$R76*$R60)</f>
        <v/>
      </c>
      <c r="AG60" s="347" t="str">
        <f>IF($S60="","",MCAin!$S76*$S60)</f>
        <v/>
      </c>
      <c r="AH60" s="463" t="str">
        <f>IF($N60="","",MCAin!$T76*$N60)</f>
        <v/>
      </c>
      <c r="AI60" s="345" t="str">
        <f>IF($O60="","",MCAin!$T76*$O60)</f>
        <v/>
      </c>
      <c r="AJ60" s="345" t="str">
        <f>IF($P60="","",MCAin!$T76*$P60)</f>
        <v/>
      </c>
      <c r="AK60" s="345" t="str">
        <f>IF($Q60="","",MCAin!$T76*$Q60)</f>
        <v/>
      </c>
      <c r="AL60" s="345" t="str">
        <f>IF($R60="","",MCAin!$R76*$R60)</f>
        <v/>
      </c>
      <c r="AM60" s="347" t="str">
        <f>IF($S60="","",MCAin!$S76*$S60)</f>
        <v/>
      </c>
      <c r="AN60" s="463" t="str">
        <f>IF($N60="","",MCAin!$U76*$N60)</f>
        <v/>
      </c>
      <c r="AO60" s="345" t="str">
        <f>IF($O60="","",MCAin!$U76*$O60)</f>
        <v/>
      </c>
      <c r="AP60" s="345" t="str">
        <f>IF($P60="","",MCAin!$U76*$P60)</f>
        <v/>
      </c>
      <c r="AQ60" s="345" t="str">
        <f>IF($Q60="","",MCAin!$U76*$Q60)</f>
        <v/>
      </c>
      <c r="AR60" s="345" t="str">
        <f>IF($R60="","",MCAin!$U76*$R60)</f>
        <v/>
      </c>
      <c r="AS60" s="347" t="str">
        <f>IF($S60="","",MCAin!$U76*$S60)</f>
        <v/>
      </c>
      <c r="AT60" s="463" t="str">
        <f>IF($N60="","",MCAin!$V76*$N60)</f>
        <v/>
      </c>
      <c r="AU60" s="345" t="str">
        <f>IF($O60="","",MCAin!$V76*$O60)</f>
        <v/>
      </c>
      <c r="AV60" s="345" t="str">
        <f>IF($P60="","",MCAin!$V76*$P60)</f>
        <v/>
      </c>
      <c r="AW60" s="345" t="str">
        <f>IF($Q60="","",MCAin!$V76*$Q60)</f>
        <v/>
      </c>
      <c r="AX60" s="345" t="str">
        <f>IF($R60="","",MCAin!$V76*$R60)</f>
        <v/>
      </c>
      <c r="AY60" s="347" t="str">
        <f>IF($S60="","",MCAin!$V76*$S60)</f>
        <v/>
      </c>
      <c r="AZ60" s="463" t="str">
        <f>IF($N60="","",MCAin!$W76*$N60)</f>
        <v/>
      </c>
      <c r="BA60" s="345" t="str">
        <f>IF($O60="","",MCAin!$W76*$O60)</f>
        <v/>
      </c>
      <c r="BB60" s="345" t="str">
        <f>IF($P60="","",MCAin!$W76*$P60)</f>
        <v/>
      </c>
      <c r="BC60" s="345" t="str">
        <f>IF($Q60="","",MCAin!$W76*$Q60)</f>
        <v/>
      </c>
      <c r="BD60" s="345" t="str">
        <f>IF($R60="","",MCAin!$W76*$R60)</f>
        <v/>
      </c>
      <c r="BE60" s="347" t="str">
        <f>IF($S60="","",MCAin!$W76*$S60)</f>
        <v/>
      </c>
      <c r="BF60" s="463" t="str">
        <f>IF($N60="","",MCAin!$X76*$N60)</f>
        <v/>
      </c>
      <c r="BG60" s="345" t="str">
        <f>IF($O60="","",MCAin!$X76*$O60)</f>
        <v/>
      </c>
      <c r="BH60" s="345" t="str">
        <f>IF($P60="","",MCAin!$X76*$P60)</f>
        <v/>
      </c>
      <c r="BI60" s="345" t="str">
        <f>IF($Q60="","",MCAin!$X76*$Q60)</f>
        <v/>
      </c>
      <c r="BJ60" s="345" t="str">
        <f>IF($R60="","",MCAin!$X76*$R60)</f>
        <v/>
      </c>
      <c r="BK60" s="347" t="str">
        <f>IF($S60="","",MCAin!$X76*$S60)</f>
        <v/>
      </c>
      <c r="BL60" s="463" t="str">
        <f>IF($N60="","",MCAin!$Y76*$N60)</f>
        <v/>
      </c>
      <c r="BM60" s="345" t="str">
        <f>IF($O60="","",MCAin!$Y76*$O60)</f>
        <v/>
      </c>
      <c r="BN60" s="345" t="str">
        <f>IF($P60="","",MCAin!$Y76*$P60)</f>
        <v/>
      </c>
      <c r="BO60" s="345" t="str">
        <f>IF($Q60="","",MCAin!$Y76*$Q60)</f>
        <v/>
      </c>
      <c r="BP60" s="345" t="str">
        <f>IF($R60="","",MCAin!$Y76*$R60)</f>
        <v/>
      </c>
      <c r="BQ60" s="347" t="str">
        <f>IF($S60="","",MCAin!$Y76*$S60)</f>
        <v/>
      </c>
      <c r="BR60" s="315"/>
      <c r="BS60" s="315"/>
      <c r="BT60" s="315"/>
      <c r="BU60" s="315"/>
      <c r="BV60" s="315"/>
      <c r="BW60" s="315"/>
      <c r="BX60" s="315"/>
      <c r="BY60" s="315"/>
      <c r="BZ60" s="315"/>
    </row>
    <row r="61" spans="1:78" ht="15" customHeight="1">
      <c r="A61" s="314"/>
      <c r="B61" s="110" t="s">
        <v>296</v>
      </c>
      <c r="C61" s="316"/>
      <c r="D61" s="319"/>
      <c r="E61" s="319"/>
      <c r="F61" s="319"/>
      <c r="G61" s="319"/>
      <c r="H61" s="319"/>
      <c r="I61" s="319"/>
      <c r="J61" s="484">
        <f>IF(MCAin!O77="","",MCAin!O77)</f>
        <v>60</v>
      </c>
      <c r="K61" s="484">
        <f>IF(MCAin!P77="","",MCAin!P77)</f>
        <v>1</v>
      </c>
      <c r="L61" s="314"/>
      <c r="M61" s="534" t="str">
        <f>IF(AND(COUNTIF(D61:I61,"&gt;=0")=$D$1,J61&gt;=0,K61&gt;=0,MCAin!$Q77=""),1,"")</f>
        <v/>
      </c>
      <c r="N61" s="343" t="str">
        <f t="shared" si="7"/>
        <v/>
      </c>
      <c r="O61" s="343" t="str">
        <f t="shared" si="7"/>
        <v/>
      </c>
      <c r="P61" s="343" t="str">
        <f t="shared" si="7"/>
        <v/>
      </c>
      <c r="Q61" s="343" t="str">
        <f t="shared" si="7"/>
        <v/>
      </c>
      <c r="R61" s="343" t="str">
        <f t="shared" si="7"/>
        <v/>
      </c>
      <c r="S61" s="343" t="str">
        <f t="shared" si="7"/>
        <v/>
      </c>
      <c r="T61" s="343"/>
      <c r="U61" s="344"/>
      <c r="V61" s="463" t="str">
        <f>IF($N61="","",MCAin!$R77*$N61)</f>
        <v/>
      </c>
      <c r="W61" s="345" t="str">
        <f>IF($O61="","",MCAin!$R77*$O61)</f>
        <v/>
      </c>
      <c r="X61" s="345" t="str">
        <f>IF($P61="","",MCAin!$R77*$P61)</f>
        <v/>
      </c>
      <c r="Y61" s="345" t="str">
        <f>IF($Q61="","",MCAin!$R77*$Q61)</f>
        <v/>
      </c>
      <c r="Z61" s="345" t="str">
        <f>IF($R61="","",MCAin!$R77*$R61)</f>
        <v/>
      </c>
      <c r="AA61" s="347" t="str">
        <f>IF($S61="","",MCAin!$R77*$S61)</f>
        <v/>
      </c>
      <c r="AB61" s="463" t="str">
        <f>IF($N61="","",MCAin!$S77*$N61)</f>
        <v/>
      </c>
      <c r="AC61" s="345" t="str">
        <f>IF($O61="","",MCAin!$S77*$O61)</f>
        <v/>
      </c>
      <c r="AD61" s="345" t="str">
        <f>IF($P61="","",MCAin!$S77*$P61)</f>
        <v/>
      </c>
      <c r="AE61" s="345" t="str">
        <f>IF($Q61="","",MCAin!$R77*$Q61)</f>
        <v/>
      </c>
      <c r="AF61" s="345" t="str">
        <f>IF($R61="","",MCAin!$R77*$R61)</f>
        <v/>
      </c>
      <c r="AG61" s="347" t="str">
        <f>IF($S61="","",MCAin!$S77*$S61)</f>
        <v/>
      </c>
      <c r="AH61" s="463" t="str">
        <f>IF($N61="","",MCAin!$T77*$N61)</f>
        <v/>
      </c>
      <c r="AI61" s="345" t="str">
        <f>IF($O61="","",MCAin!$T77*$O61)</f>
        <v/>
      </c>
      <c r="AJ61" s="345" t="str">
        <f>IF($P61="","",MCAin!$T77*$P61)</f>
        <v/>
      </c>
      <c r="AK61" s="345" t="str">
        <f>IF($Q61="","",MCAin!$T77*$Q61)</f>
        <v/>
      </c>
      <c r="AL61" s="345" t="str">
        <f>IF($R61="","",MCAin!$R77*$R61)</f>
        <v/>
      </c>
      <c r="AM61" s="347" t="str">
        <f>IF($S61="","",MCAin!$S77*$S61)</f>
        <v/>
      </c>
      <c r="AN61" s="463" t="str">
        <f>IF($N61="","",MCAin!$U77*$N61)</f>
        <v/>
      </c>
      <c r="AO61" s="345" t="str">
        <f>IF($O61="","",MCAin!$U77*$O61)</f>
        <v/>
      </c>
      <c r="AP61" s="345" t="str">
        <f>IF($P61="","",MCAin!$U77*$P61)</f>
        <v/>
      </c>
      <c r="AQ61" s="345" t="str">
        <f>IF($Q61="","",MCAin!$U77*$Q61)</f>
        <v/>
      </c>
      <c r="AR61" s="345" t="str">
        <f>IF($R61="","",MCAin!$U77*$R61)</f>
        <v/>
      </c>
      <c r="AS61" s="347" t="str">
        <f>IF($S61="","",MCAin!$U77*$S61)</f>
        <v/>
      </c>
      <c r="AT61" s="463" t="str">
        <f>IF($N61="","",MCAin!$V77*$N61)</f>
        <v/>
      </c>
      <c r="AU61" s="345" t="str">
        <f>IF($O61="","",MCAin!$V77*$O61)</f>
        <v/>
      </c>
      <c r="AV61" s="345" t="str">
        <f>IF($P61="","",MCAin!$V77*$P61)</f>
        <v/>
      </c>
      <c r="AW61" s="345" t="str">
        <f>IF($Q61="","",MCAin!$V77*$Q61)</f>
        <v/>
      </c>
      <c r="AX61" s="345" t="str">
        <f>IF($R61="","",MCAin!$V77*$R61)</f>
        <v/>
      </c>
      <c r="AY61" s="347" t="str">
        <f>IF($S61="","",MCAin!$V77*$S61)</f>
        <v/>
      </c>
      <c r="AZ61" s="463" t="str">
        <f>IF($N61="","",MCAin!$W77*$N61)</f>
        <v/>
      </c>
      <c r="BA61" s="345" t="str">
        <f>IF($O61="","",MCAin!$W77*$O61)</f>
        <v/>
      </c>
      <c r="BB61" s="345" t="str">
        <f>IF($P61="","",MCAin!$W77*$P61)</f>
        <v/>
      </c>
      <c r="BC61" s="345" t="str">
        <f>IF($Q61="","",MCAin!$W77*$Q61)</f>
        <v/>
      </c>
      <c r="BD61" s="345" t="str">
        <f>IF($R61="","",MCAin!$W77*$R61)</f>
        <v/>
      </c>
      <c r="BE61" s="347" t="str">
        <f>IF($S61="","",MCAin!$W77*$S61)</f>
        <v/>
      </c>
      <c r="BF61" s="463" t="str">
        <f>IF($N61="","",MCAin!$X77*$N61)</f>
        <v/>
      </c>
      <c r="BG61" s="345" t="str">
        <f>IF($O61="","",MCAin!$X77*$O61)</f>
        <v/>
      </c>
      <c r="BH61" s="345" t="str">
        <f>IF($P61="","",MCAin!$X77*$P61)</f>
        <v/>
      </c>
      <c r="BI61" s="345" t="str">
        <f>IF($Q61="","",MCAin!$X77*$Q61)</f>
        <v/>
      </c>
      <c r="BJ61" s="345" t="str">
        <f>IF($R61="","",MCAin!$X77*$R61)</f>
        <v/>
      </c>
      <c r="BK61" s="347" t="str">
        <f>IF($S61="","",MCAin!$X77*$S61)</f>
        <v/>
      </c>
      <c r="BL61" s="463" t="str">
        <f>IF($N61="","",MCAin!$Y77*$N61)</f>
        <v/>
      </c>
      <c r="BM61" s="345" t="str">
        <f>IF($O61="","",MCAin!$Y77*$O61)</f>
        <v/>
      </c>
      <c r="BN61" s="345" t="str">
        <f>IF($P61="","",MCAin!$Y77*$P61)</f>
        <v/>
      </c>
      <c r="BO61" s="345" t="str">
        <f>IF($Q61="","",MCAin!$Y77*$Q61)</f>
        <v/>
      </c>
      <c r="BP61" s="345" t="str">
        <f>IF($R61="","",MCAin!$Y77*$R61)</f>
        <v/>
      </c>
      <c r="BQ61" s="347" t="str">
        <f>IF($S61="","",MCAin!$Y77*$S61)</f>
        <v/>
      </c>
      <c r="BR61" s="315"/>
      <c r="BS61" s="315"/>
      <c r="BT61" s="315"/>
      <c r="BU61" s="315"/>
      <c r="BV61" s="315"/>
      <c r="BW61" s="315"/>
      <c r="BX61" s="315"/>
      <c r="BY61" s="315"/>
      <c r="BZ61" s="315"/>
    </row>
    <row r="62" spans="1:78" ht="15" customHeight="1">
      <c r="A62" s="314"/>
      <c r="B62" s="110" t="str">
        <f>PTAout!D98</f>
        <v>Delays</v>
      </c>
      <c r="C62" s="316"/>
      <c r="D62" s="234" t="str">
        <f>PTAout!H98</f>
        <v/>
      </c>
      <c r="E62" s="234" t="str">
        <f>PTAout!L98</f>
        <v/>
      </c>
      <c r="F62" s="234" t="str">
        <f>PTAout!Q98</f>
        <v/>
      </c>
      <c r="G62" s="234" t="str">
        <f>PTAout!V98</f>
        <v/>
      </c>
      <c r="H62" s="234" t="str">
        <f>PTAout!AA98</f>
        <v/>
      </c>
      <c r="I62" s="234" t="str">
        <f>PTAout!AF98</f>
        <v/>
      </c>
      <c r="J62" s="484">
        <f>IF(MCAin!O78="","",MCAin!O78)</f>
        <v>1.5</v>
      </c>
      <c r="K62" s="484">
        <f>IF(MCAin!P78="","",MCAin!P78)</f>
        <v>0</v>
      </c>
      <c r="L62" s="314"/>
      <c r="M62" s="534" t="str">
        <f>IF(AND(COUNTIF(D62:I62,"&gt;=0")=$D$1,J62&gt;=0,K62&gt;=0,MCAin!$Q78=""),1,"")</f>
        <v/>
      </c>
      <c r="N62" s="343" t="str">
        <f t="shared" si="7"/>
        <v/>
      </c>
      <c r="O62" s="343" t="str">
        <f t="shared" si="7"/>
        <v/>
      </c>
      <c r="P62" s="343" t="str">
        <f t="shared" si="7"/>
        <v/>
      </c>
      <c r="Q62" s="343" t="str">
        <f t="shared" si="7"/>
        <v/>
      </c>
      <c r="R62" s="343" t="str">
        <f t="shared" si="7"/>
        <v/>
      </c>
      <c r="S62" s="343" t="str">
        <f t="shared" si="7"/>
        <v/>
      </c>
      <c r="T62" s="343"/>
      <c r="U62" s="344"/>
      <c r="V62" s="463" t="str">
        <f>IF($N62="","",MCAin!$R78*$N62)</f>
        <v/>
      </c>
      <c r="W62" s="345" t="str">
        <f>IF($O62="","",MCAin!$R78*$O62)</f>
        <v/>
      </c>
      <c r="X62" s="345" t="str">
        <f>IF($P62="","",MCAin!$R78*$P62)</f>
        <v/>
      </c>
      <c r="Y62" s="345" t="str">
        <f>IF($Q62="","",MCAin!$R78*$Q62)</f>
        <v/>
      </c>
      <c r="Z62" s="345" t="str">
        <f>IF($R62="","",MCAin!$R78*$R62)</f>
        <v/>
      </c>
      <c r="AA62" s="347" t="str">
        <f>IF($S62="","",MCAin!$R78*$S62)</f>
        <v/>
      </c>
      <c r="AB62" s="463" t="str">
        <f>IF($N62="","",MCAin!$S78*$N62)</f>
        <v/>
      </c>
      <c r="AC62" s="345" t="str">
        <f>IF($O62="","",MCAin!$S78*$O62)</f>
        <v/>
      </c>
      <c r="AD62" s="345" t="str">
        <f>IF($P62="","",MCAin!$S78*$P62)</f>
        <v/>
      </c>
      <c r="AE62" s="345" t="str">
        <f>IF($Q62="","",MCAin!$R78*$Q62)</f>
        <v/>
      </c>
      <c r="AF62" s="345" t="str">
        <f>IF($R62="","",MCAin!$R78*$R62)</f>
        <v/>
      </c>
      <c r="AG62" s="347" t="str">
        <f>IF($S62="","",MCAin!$S78*$S62)</f>
        <v/>
      </c>
      <c r="AH62" s="463" t="str">
        <f>IF($N62="","",MCAin!$T78*$N62)</f>
        <v/>
      </c>
      <c r="AI62" s="345" t="str">
        <f>IF($O62="","",MCAin!$T78*$O62)</f>
        <v/>
      </c>
      <c r="AJ62" s="345" t="str">
        <f>IF($P62="","",MCAin!$T78*$P62)</f>
        <v/>
      </c>
      <c r="AK62" s="345" t="str">
        <f>IF($Q62="","",MCAin!$T78*$Q62)</f>
        <v/>
      </c>
      <c r="AL62" s="345" t="str">
        <f>IF($R62="","",MCAin!$R78*$R62)</f>
        <v/>
      </c>
      <c r="AM62" s="347" t="str">
        <f>IF($S62="","",MCAin!$S78*$S62)</f>
        <v/>
      </c>
      <c r="AN62" s="463" t="str">
        <f>IF($N62="","",MCAin!$U78*$N62)</f>
        <v/>
      </c>
      <c r="AO62" s="345" t="str">
        <f>IF($O62="","",MCAin!$U78*$O62)</f>
        <v/>
      </c>
      <c r="AP62" s="345" t="str">
        <f>IF($P62="","",MCAin!$U78*$P62)</f>
        <v/>
      </c>
      <c r="AQ62" s="345" t="str">
        <f>IF($Q62="","",MCAin!$U78*$Q62)</f>
        <v/>
      </c>
      <c r="AR62" s="345" t="str">
        <f>IF($R62="","",MCAin!$U78*$R62)</f>
        <v/>
      </c>
      <c r="AS62" s="347" t="str">
        <f>IF($S62="","",MCAin!$U78*$S62)</f>
        <v/>
      </c>
      <c r="AT62" s="463" t="str">
        <f>IF($N62="","",MCAin!$V78*$N62)</f>
        <v/>
      </c>
      <c r="AU62" s="345" t="str">
        <f>IF($O62="","",MCAin!$V78*$O62)</f>
        <v/>
      </c>
      <c r="AV62" s="345" t="str">
        <f>IF($P62="","",MCAin!$V78*$P62)</f>
        <v/>
      </c>
      <c r="AW62" s="345" t="str">
        <f>IF($Q62="","",MCAin!$V78*$Q62)</f>
        <v/>
      </c>
      <c r="AX62" s="345" t="str">
        <f>IF($R62="","",MCAin!$V78*$R62)</f>
        <v/>
      </c>
      <c r="AY62" s="347" t="str">
        <f>IF($S62="","",MCAin!$V78*$S62)</f>
        <v/>
      </c>
      <c r="AZ62" s="463" t="str">
        <f>IF($N62="","",MCAin!$W78*$N62)</f>
        <v/>
      </c>
      <c r="BA62" s="345" t="str">
        <f>IF($O62="","",MCAin!$W78*$O62)</f>
        <v/>
      </c>
      <c r="BB62" s="345" t="str">
        <f>IF($P62="","",MCAin!$W78*$P62)</f>
        <v/>
      </c>
      <c r="BC62" s="345" t="str">
        <f>IF($Q62="","",MCAin!$W78*$Q62)</f>
        <v/>
      </c>
      <c r="BD62" s="345" t="str">
        <f>IF($R62="","",MCAin!$W78*$R62)</f>
        <v/>
      </c>
      <c r="BE62" s="347" t="str">
        <f>IF($S62="","",MCAin!$W78*$S62)</f>
        <v/>
      </c>
      <c r="BF62" s="463" t="str">
        <f>IF($N62="","",MCAin!$X78*$N62)</f>
        <v/>
      </c>
      <c r="BG62" s="345" t="str">
        <f>IF($O62="","",MCAin!$X78*$O62)</f>
        <v/>
      </c>
      <c r="BH62" s="345" t="str">
        <f>IF($P62="","",MCAin!$X78*$P62)</f>
        <v/>
      </c>
      <c r="BI62" s="345" t="str">
        <f>IF($Q62="","",MCAin!$X78*$Q62)</f>
        <v/>
      </c>
      <c r="BJ62" s="345" t="str">
        <f>IF($R62="","",MCAin!$X78*$R62)</f>
        <v/>
      </c>
      <c r="BK62" s="347" t="str">
        <f>IF($S62="","",MCAin!$X78*$S62)</f>
        <v/>
      </c>
      <c r="BL62" s="463" t="str">
        <f>IF($N62="","",MCAin!$Y78*$N62)</f>
        <v/>
      </c>
      <c r="BM62" s="345" t="str">
        <f>IF($O62="","",MCAin!$Y78*$O62)</f>
        <v/>
      </c>
      <c r="BN62" s="345" t="str">
        <f>IF($P62="","",MCAin!$Y78*$P62)</f>
        <v/>
      </c>
      <c r="BO62" s="345" t="str">
        <f>IF($Q62="","",MCAin!$Y78*$Q62)</f>
        <v/>
      </c>
      <c r="BP62" s="345" t="str">
        <f>IF($R62="","",MCAin!$Y78*$R62)</f>
        <v/>
      </c>
      <c r="BQ62" s="347" t="str">
        <f>IF($S62="","",MCAin!$Y78*$S62)</f>
        <v/>
      </c>
      <c r="BR62" s="315"/>
      <c r="BS62" s="315"/>
      <c r="BT62" s="315"/>
      <c r="BU62" s="315"/>
      <c r="BV62" s="315"/>
      <c r="BW62" s="315"/>
      <c r="BX62" s="315"/>
      <c r="BY62" s="315"/>
      <c r="BZ62" s="315"/>
    </row>
    <row r="63" spans="1:78" ht="15" customHeight="1">
      <c r="A63" s="314"/>
      <c r="B63" s="110" t="str">
        <f>PTAout!D99</f>
        <v>Reliability</v>
      </c>
      <c r="C63" s="316"/>
      <c r="D63" s="234" t="str">
        <f>PTAout!H99</f>
        <v/>
      </c>
      <c r="E63" s="234" t="str">
        <f>PTAout!L99</f>
        <v/>
      </c>
      <c r="F63" s="234" t="str">
        <f>PTAout!Q99</f>
        <v/>
      </c>
      <c r="G63" s="234" t="str">
        <f>PTAout!V99</f>
        <v/>
      </c>
      <c r="H63" s="234" t="str">
        <f>PTAout!AA99</f>
        <v/>
      </c>
      <c r="I63" s="234" t="str">
        <f>PTAout!AF99</f>
        <v/>
      </c>
      <c r="J63" s="484" t="str">
        <f>IF(MCAin!O79="","",MCAin!O79)</f>
        <v/>
      </c>
      <c r="K63" s="484" t="str">
        <f>IF(MCAin!P79="","",MCAin!P79)</f>
        <v/>
      </c>
      <c r="L63" s="314"/>
      <c r="M63" s="534" t="str">
        <f>IF(AND(COUNTIF(D63:I63,"&gt;=0")=$D$1,J63&gt;=0,K63&gt;=0,MCAin!$Q79=""),1,"")</f>
        <v/>
      </c>
      <c r="N63" s="343" t="str">
        <f t="shared" si="7"/>
        <v/>
      </c>
      <c r="O63" s="343" t="str">
        <f t="shared" si="7"/>
        <v/>
      </c>
      <c r="P63" s="343" t="str">
        <f t="shared" si="7"/>
        <v/>
      </c>
      <c r="Q63" s="343" t="str">
        <f t="shared" si="7"/>
        <v/>
      </c>
      <c r="R63" s="343" t="str">
        <f t="shared" si="7"/>
        <v/>
      </c>
      <c r="S63" s="343" t="str">
        <f t="shared" si="7"/>
        <v/>
      </c>
      <c r="T63" s="343"/>
      <c r="U63" s="344"/>
      <c r="V63" s="463" t="str">
        <f>IF($N63="","",MCAin!$R79*$N63)</f>
        <v/>
      </c>
      <c r="W63" s="345" t="str">
        <f>IF($O63="","",MCAin!$R79*$O63)</f>
        <v/>
      </c>
      <c r="X63" s="345" t="str">
        <f>IF($P63="","",MCAin!$R79*$P63)</f>
        <v/>
      </c>
      <c r="Y63" s="345" t="str">
        <f>IF($Q63="","",MCAin!$R79*$Q63)</f>
        <v/>
      </c>
      <c r="Z63" s="345" t="str">
        <f>IF($R63="","",MCAin!$R79*$R63)</f>
        <v/>
      </c>
      <c r="AA63" s="347" t="str">
        <f>IF($S63="","",MCAin!$R79*$S63)</f>
        <v/>
      </c>
      <c r="AB63" s="463" t="str">
        <f>IF($N63="","",MCAin!$S79*$N63)</f>
        <v/>
      </c>
      <c r="AC63" s="345" t="str">
        <f>IF($O63="","",MCAin!$S79*$O63)</f>
        <v/>
      </c>
      <c r="AD63" s="345" t="str">
        <f>IF($P63="","",MCAin!$S79*$P63)</f>
        <v/>
      </c>
      <c r="AE63" s="345" t="str">
        <f>IF($Q63="","",MCAin!$R79*$Q63)</f>
        <v/>
      </c>
      <c r="AF63" s="345" t="str">
        <f>IF($R63="","",MCAin!$R79*$R63)</f>
        <v/>
      </c>
      <c r="AG63" s="347" t="str">
        <f>IF($S63="","",MCAin!$S79*$S63)</f>
        <v/>
      </c>
      <c r="AH63" s="463" t="str">
        <f>IF($N63="","",MCAin!$T79*$N63)</f>
        <v/>
      </c>
      <c r="AI63" s="345" t="str">
        <f>IF($O63="","",MCAin!$T79*$O63)</f>
        <v/>
      </c>
      <c r="AJ63" s="345" t="str">
        <f>IF($P63="","",MCAin!$T79*$P63)</f>
        <v/>
      </c>
      <c r="AK63" s="345" t="str">
        <f>IF($Q63="","",MCAin!$T79*$Q63)</f>
        <v/>
      </c>
      <c r="AL63" s="345" t="str">
        <f>IF($R63="","",MCAin!$R79*$R63)</f>
        <v/>
      </c>
      <c r="AM63" s="347" t="str">
        <f>IF($S63="","",MCAin!$S79*$S63)</f>
        <v/>
      </c>
      <c r="AN63" s="463" t="str">
        <f>IF($N63="","",MCAin!$U79*$N63)</f>
        <v/>
      </c>
      <c r="AO63" s="345" t="str">
        <f>IF($O63="","",MCAin!$U79*$O63)</f>
        <v/>
      </c>
      <c r="AP63" s="345" t="str">
        <f>IF($P63="","",MCAin!$U79*$P63)</f>
        <v/>
      </c>
      <c r="AQ63" s="345" t="str">
        <f>IF($Q63="","",MCAin!$U79*$Q63)</f>
        <v/>
      </c>
      <c r="AR63" s="345" t="str">
        <f>IF($R63="","",MCAin!$U79*$R63)</f>
        <v/>
      </c>
      <c r="AS63" s="347" t="str">
        <f>IF($S63="","",MCAin!$U79*$S63)</f>
        <v/>
      </c>
      <c r="AT63" s="463" t="str">
        <f>IF($N63="","",MCAin!$V79*$N63)</f>
        <v/>
      </c>
      <c r="AU63" s="345" t="str">
        <f>IF($O63="","",MCAin!$V79*$O63)</f>
        <v/>
      </c>
      <c r="AV63" s="345" t="str">
        <f>IF($P63="","",MCAin!$V79*$P63)</f>
        <v/>
      </c>
      <c r="AW63" s="345" t="str">
        <f>IF($Q63="","",MCAin!$V79*$Q63)</f>
        <v/>
      </c>
      <c r="AX63" s="345" t="str">
        <f>IF($R63="","",MCAin!$V79*$R63)</f>
        <v/>
      </c>
      <c r="AY63" s="347" t="str">
        <f>IF($S63="","",MCAin!$V79*$S63)</f>
        <v/>
      </c>
      <c r="AZ63" s="463" t="str">
        <f>IF($N63="","",MCAin!$W79*$N63)</f>
        <v/>
      </c>
      <c r="BA63" s="345" t="str">
        <f>IF($O63="","",MCAin!$W79*$O63)</f>
        <v/>
      </c>
      <c r="BB63" s="345" t="str">
        <f>IF($P63="","",MCAin!$W79*$P63)</f>
        <v/>
      </c>
      <c r="BC63" s="345" t="str">
        <f>IF($Q63="","",MCAin!$W79*$Q63)</f>
        <v/>
      </c>
      <c r="BD63" s="345" t="str">
        <f>IF($R63="","",MCAin!$W79*$R63)</f>
        <v/>
      </c>
      <c r="BE63" s="347" t="str">
        <f>IF($S63="","",MCAin!$W79*$S63)</f>
        <v/>
      </c>
      <c r="BF63" s="463" t="str">
        <f>IF($N63="","",MCAin!$X79*$N63)</f>
        <v/>
      </c>
      <c r="BG63" s="345" t="str">
        <f>IF($O63="","",MCAin!$X79*$O63)</f>
        <v/>
      </c>
      <c r="BH63" s="345" t="str">
        <f>IF($P63="","",MCAin!$X79*$P63)</f>
        <v/>
      </c>
      <c r="BI63" s="345" t="str">
        <f>IF($Q63="","",MCAin!$X79*$Q63)</f>
        <v/>
      </c>
      <c r="BJ63" s="345" t="str">
        <f>IF($R63="","",MCAin!$X79*$R63)</f>
        <v/>
      </c>
      <c r="BK63" s="347" t="str">
        <f>IF($S63="","",MCAin!$X79*$S63)</f>
        <v/>
      </c>
      <c r="BL63" s="463" t="str">
        <f>IF($N63="","",MCAin!$Y79*$N63)</f>
        <v/>
      </c>
      <c r="BM63" s="345" t="str">
        <f>IF($O63="","",MCAin!$Y79*$O63)</f>
        <v/>
      </c>
      <c r="BN63" s="345" t="str">
        <f>IF($P63="","",MCAin!$Y79*$P63)</f>
        <v/>
      </c>
      <c r="BO63" s="345" t="str">
        <f>IF($Q63="","",MCAin!$Y79*$Q63)</f>
        <v/>
      </c>
      <c r="BP63" s="345" t="str">
        <f>IF($R63="","",MCAin!$Y79*$R63)</f>
        <v/>
      </c>
      <c r="BQ63" s="347" t="str">
        <f>IF($S63="","",MCAin!$Y79*$S63)</f>
        <v/>
      </c>
      <c r="BR63" s="315"/>
      <c r="BS63" s="315"/>
      <c r="BT63" s="315"/>
      <c r="BU63" s="315"/>
      <c r="BV63" s="315"/>
      <c r="BW63" s="315"/>
      <c r="BX63" s="315"/>
      <c r="BY63" s="315"/>
      <c r="BZ63" s="315"/>
    </row>
    <row r="64" spans="1:78" ht="15" customHeight="1">
      <c r="A64" s="320"/>
      <c r="B64" s="118" t="str">
        <f>PTAout!D100</f>
        <v>Trip quality</v>
      </c>
      <c r="C64" s="321"/>
      <c r="D64" s="323" t="str">
        <f>PTAout!H100</f>
        <v/>
      </c>
      <c r="E64" s="323" t="str">
        <f>PTAout!L100</f>
        <v/>
      </c>
      <c r="F64" s="323" t="str">
        <f>PTAout!Q100</f>
        <v/>
      </c>
      <c r="G64" s="323" t="str">
        <f>PTAout!V100</f>
        <v/>
      </c>
      <c r="H64" s="323" t="str">
        <f>PTAout!AA100</f>
        <v/>
      </c>
      <c r="I64" s="323" t="str">
        <f>PTAout!AF100</f>
        <v/>
      </c>
      <c r="J64" s="489">
        <f>IF(MCAin!O80="","",MCAin!O80)</f>
        <v>0</v>
      </c>
      <c r="K64" s="489">
        <f>IF(MCAin!P80="","",MCAin!P80)</f>
        <v>100</v>
      </c>
      <c r="L64" s="314"/>
      <c r="M64" s="534" t="str">
        <f>IF(AND(COUNTIF(D64:I64,"&gt;=0")=$D$1,J64&gt;=0,K64&gt;=0,MCAin!$Q80=""),1,"")</f>
        <v/>
      </c>
      <c r="N64" s="492" t="str">
        <f t="shared" si="7"/>
        <v/>
      </c>
      <c r="O64" s="492" t="str">
        <f t="shared" si="7"/>
        <v/>
      </c>
      <c r="P64" s="492" t="str">
        <f t="shared" si="7"/>
        <v/>
      </c>
      <c r="Q64" s="492" t="str">
        <f t="shared" si="7"/>
        <v/>
      </c>
      <c r="R64" s="492" t="str">
        <f t="shared" si="7"/>
        <v/>
      </c>
      <c r="S64" s="492" t="str">
        <f t="shared" si="7"/>
        <v/>
      </c>
      <c r="T64" s="343"/>
      <c r="U64" s="344"/>
      <c r="V64" s="495" t="str">
        <f>IF($N64="","",MCAin!$R80*$N64)</f>
        <v/>
      </c>
      <c r="W64" s="496" t="str">
        <f>IF($O64="","",MCAin!$R80*$O64)</f>
        <v/>
      </c>
      <c r="X64" s="496" t="str">
        <f>IF($P64="","",MCAin!$R80*$P64)</f>
        <v/>
      </c>
      <c r="Y64" s="496" t="str">
        <f>IF($Q64="","",MCAin!$R80*$Q64)</f>
        <v/>
      </c>
      <c r="Z64" s="496" t="str">
        <f>IF($R64="","",MCAin!$R80*$R64)</f>
        <v/>
      </c>
      <c r="AA64" s="497" t="str">
        <f>IF($S64="","",MCAin!$R80*$S64)</f>
        <v/>
      </c>
      <c r="AB64" s="495" t="str">
        <f>IF($N64="","",MCAin!$S80*$N64)</f>
        <v/>
      </c>
      <c r="AC64" s="496" t="str">
        <f>IF($O64="","",MCAin!$S80*$O64)</f>
        <v/>
      </c>
      <c r="AD64" s="496" t="str">
        <f>IF($P64="","",MCAin!$S80*$P64)</f>
        <v/>
      </c>
      <c r="AE64" s="496" t="str">
        <f>IF($Q64="","",MCAin!$R80*$Q64)</f>
        <v/>
      </c>
      <c r="AF64" s="496" t="str">
        <f>IF($R64="","",MCAin!$R80*$R64)</f>
        <v/>
      </c>
      <c r="AG64" s="497" t="str">
        <f>IF($S64="","",MCAin!$S80*$S64)</f>
        <v/>
      </c>
      <c r="AH64" s="495" t="str">
        <f>IF($N64="","",MCAin!$T80*$N64)</f>
        <v/>
      </c>
      <c r="AI64" s="496" t="str">
        <f>IF($O64="","",MCAin!$T80*$O64)</f>
        <v/>
      </c>
      <c r="AJ64" s="496" t="str">
        <f>IF($P64="","",MCAin!$T80*$P64)</f>
        <v/>
      </c>
      <c r="AK64" s="496" t="str">
        <f>IF($Q64="","",MCAin!$T80*$Q64)</f>
        <v/>
      </c>
      <c r="AL64" s="496" t="str">
        <f>IF($R64="","",MCAin!$R80*$R64)</f>
        <v/>
      </c>
      <c r="AM64" s="497" t="str">
        <f>IF($S64="","",MCAin!$S80*$S64)</f>
        <v/>
      </c>
      <c r="AN64" s="495" t="str">
        <f>IF($N64="","",MCAin!$U80*$N64)</f>
        <v/>
      </c>
      <c r="AO64" s="496" t="str">
        <f>IF($O64="","",MCAin!$U80*$O64)</f>
        <v/>
      </c>
      <c r="AP64" s="496" t="str">
        <f>IF($P64="","",MCAin!$U80*$P64)</f>
        <v/>
      </c>
      <c r="AQ64" s="496" t="str">
        <f>IF($Q64="","",MCAin!$U80*$Q64)</f>
        <v/>
      </c>
      <c r="AR64" s="496" t="str">
        <f>IF($R64="","",MCAin!$U80*$R64)</f>
        <v/>
      </c>
      <c r="AS64" s="497" t="str">
        <f>IF($S64="","",MCAin!$U80*$S64)</f>
        <v/>
      </c>
      <c r="AT64" s="495" t="str">
        <f>IF($N64="","",MCAin!$V80*$N64)</f>
        <v/>
      </c>
      <c r="AU64" s="496" t="str">
        <f>IF($O64="","",MCAin!$V80*$O64)</f>
        <v/>
      </c>
      <c r="AV64" s="496" t="str">
        <f>IF($P64="","",MCAin!$V80*$P64)</f>
        <v/>
      </c>
      <c r="AW64" s="496" t="str">
        <f>IF($Q64="","",MCAin!$V80*$Q64)</f>
        <v/>
      </c>
      <c r="AX64" s="496" t="str">
        <f>IF($R64="","",MCAin!$V80*$R64)</f>
        <v/>
      </c>
      <c r="AY64" s="497" t="str">
        <f>IF($S64="","",MCAin!$V80*$S64)</f>
        <v/>
      </c>
      <c r="AZ64" s="495" t="str">
        <f>IF($N64="","",MCAin!$W80*$N64)</f>
        <v/>
      </c>
      <c r="BA64" s="496" t="str">
        <f>IF($O64="","",MCAin!$W80*$O64)</f>
        <v/>
      </c>
      <c r="BB64" s="496" t="str">
        <f>IF($P64="","",MCAin!$W80*$P64)</f>
        <v/>
      </c>
      <c r="BC64" s="496" t="str">
        <f>IF($Q64="","",MCAin!$W80*$Q64)</f>
        <v/>
      </c>
      <c r="BD64" s="496" t="str">
        <f>IF($R64="","",MCAin!$W80*$R64)</f>
        <v/>
      </c>
      <c r="BE64" s="497" t="str">
        <f>IF($S64="","",MCAin!$W80*$S64)</f>
        <v/>
      </c>
      <c r="BF64" s="495" t="str">
        <f>IF($N64="","",MCAin!$X80*$N64)</f>
        <v/>
      </c>
      <c r="BG64" s="496" t="str">
        <f>IF($O64="","",MCAin!$X80*$O64)</f>
        <v/>
      </c>
      <c r="BH64" s="496" t="str">
        <f>IF($P64="","",MCAin!$X80*$P64)</f>
        <v/>
      </c>
      <c r="BI64" s="496" t="str">
        <f>IF($Q64="","",MCAin!$X80*$Q64)</f>
        <v/>
      </c>
      <c r="BJ64" s="496" t="str">
        <f>IF($R64="","",MCAin!$X80*$R64)</f>
        <v/>
      </c>
      <c r="BK64" s="497" t="str">
        <f>IF($S64="","",MCAin!$X80*$S64)</f>
        <v/>
      </c>
      <c r="BL64" s="495" t="str">
        <f>IF($N64="","",MCAin!$Y80*$N64)</f>
        <v/>
      </c>
      <c r="BM64" s="496" t="str">
        <f>IF($O64="","",MCAin!$Y80*$O64)</f>
        <v/>
      </c>
      <c r="BN64" s="496" t="str">
        <f>IF($P64="","",MCAin!$Y80*$P64)</f>
        <v/>
      </c>
      <c r="BO64" s="496" t="str">
        <f>IF($Q64="","",MCAin!$Y80*$Q64)</f>
        <v/>
      </c>
      <c r="BP64" s="496" t="str">
        <f>IF($R64="","",MCAin!$Y80*$R64)</f>
        <v/>
      </c>
      <c r="BQ64" s="497" t="str">
        <f>IF($S64="","",MCAin!$Y80*$S64)</f>
        <v/>
      </c>
      <c r="BR64" s="315"/>
      <c r="BS64" s="315"/>
      <c r="BT64" s="315"/>
      <c r="BU64" s="315"/>
      <c r="BV64" s="315"/>
      <c r="BW64" s="315"/>
      <c r="BX64" s="315"/>
      <c r="BY64" s="315"/>
      <c r="BZ64" s="315"/>
    </row>
    <row r="65" spans="1:78" ht="15" customHeight="1">
      <c r="A65" s="314"/>
      <c r="B65" s="110"/>
      <c r="C65" s="316"/>
      <c r="D65" s="232"/>
      <c r="E65" s="232"/>
      <c r="F65" s="232"/>
      <c r="G65" s="232"/>
      <c r="H65" s="232"/>
      <c r="I65" s="232"/>
      <c r="J65" s="485"/>
      <c r="K65" s="485"/>
      <c r="L65" s="314"/>
      <c r="M65" s="344"/>
      <c r="N65" s="344"/>
      <c r="O65" s="344"/>
      <c r="P65" s="344"/>
      <c r="Q65" s="344"/>
      <c r="R65" s="344"/>
      <c r="S65" s="344"/>
      <c r="T65" s="344"/>
      <c r="U65" s="344"/>
      <c r="V65" s="464"/>
      <c r="W65" s="344"/>
      <c r="X65" s="344"/>
      <c r="Y65" s="344"/>
      <c r="Z65" s="344"/>
      <c r="AA65" s="348"/>
      <c r="AB65" s="464"/>
      <c r="AC65" s="344"/>
      <c r="AD65" s="344"/>
      <c r="AE65" s="344"/>
      <c r="AF65" s="344"/>
      <c r="AG65" s="348"/>
      <c r="AH65" s="464"/>
      <c r="AI65" s="344"/>
      <c r="AJ65" s="344"/>
      <c r="AK65" s="344"/>
      <c r="AL65" s="344"/>
      <c r="AM65" s="348"/>
      <c r="AN65" s="464"/>
      <c r="AO65" s="344"/>
      <c r="AP65" s="344"/>
      <c r="AQ65" s="344"/>
      <c r="AR65" s="344"/>
      <c r="AS65" s="348"/>
      <c r="AT65" s="464"/>
      <c r="AU65" s="344"/>
      <c r="AV65" s="344"/>
      <c r="AW65" s="344"/>
      <c r="AX65" s="344"/>
      <c r="AY65" s="348"/>
      <c r="AZ65" s="464"/>
      <c r="BA65" s="344"/>
      <c r="BB65" s="344"/>
      <c r="BC65" s="344"/>
      <c r="BD65" s="344"/>
      <c r="BE65" s="348"/>
      <c r="BF65" s="464"/>
      <c r="BG65" s="344"/>
      <c r="BH65" s="344"/>
      <c r="BI65" s="344"/>
      <c r="BJ65" s="344"/>
      <c r="BK65" s="348"/>
      <c r="BL65" s="464"/>
      <c r="BM65" s="344"/>
      <c r="BN65" s="344"/>
      <c r="BO65" s="344"/>
      <c r="BP65" s="344"/>
      <c r="BQ65" s="348"/>
      <c r="BR65" s="315"/>
      <c r="BS65" s="315"/>
      <c r="BT65" s="315"/>
      <c r="BU65" s="315"/>
      <c r="BV65" s="315"/>
      <c r="BW65" s="315"/>
      <c r="BX65" s="315"/>
      <c r="BY65" s="315"/>
      <c r="BZ65" s="315"/>
    </row>
    <row r="66" spans="1:78" ht="15" customHeight="1">
      <c r="A66" s="325" t="str">
        <f>PTAout!C102</f>
        <v>Place function</v>
      </c>
      <c r="B66" s="118"/>
      <c r="C66" s="321"/>
      <c r="D66" s="313"/>
      <c r="E66" s="313"/>
      <c r="F66" s="313"/>
      <c r="G66" s="313"/>
      <c r="H66" s="313"/>
      <c r="I66" s="313"/>
      <c r="J66" s="486"/>
      <c r="K66" s="486"/>
      <c r="L66" s="314"/>
      <c r="M66" s="344"/>
      <c r="N66" s="491"/>
      <c r="O66" s="491"/>
      <c r="P66" s="491"/>
      <c r="Q66" s="491"/>
      <c r="R66" s="491"/>
      <c r="S66" s="491"/>
      <c r="T66" s="344"/>
      <c r="U66" s="344"/>
      <c r="V66" s="493"/>
      <c r="W66" s="491"/>
      <c r="X66" s="491"/>
      <c r="Y66" s="491"/>
      <c r="Z66" s="491"/>
      <c r="AA66" s="494"/>
      <c r="AB66" s="493"/>
      <c r="AC66" s="491"/>
      <c r="AD66" s="491"/>
      <c r="AE66" s="491"/>
      <c r="AF66" s="491"/>
      <c r="AG66" s="494"/>
      <c r="AH66" s="493"/>
      <c r="AI66" s="491"/>
      <c r="AJ66" s="491"/>
      <c r="AK66" s="491"/>
      <c r="AL66" s="491"/>
      <c r="AM66" s="494"/>
      <c r="AN66" s="493"/>
      <c r="AO66" s="491"/>
      <c r="AP66" s="491"/>
      <c r="AQ66" s="491"/>
      <c r="AR66" s="491"/>
      <c r="AS66" s="494"/>
      <c r="AT66" s="493"/>
      <c r="AU66" s="491"/>
      <c r="AV66" s="491"/>
      <c r="AW66" s="491"/>
      <c r="AX66" s="491"/>
      <c r="AY66" s="494"/>
      <c r="AZ66" s="493"/>
      <c r="BA66" s="491"/>
      <c r="BB66" s="491"/>
      <c r="BC66" s="491"/>
      <c r="BD66" s="491"/>
      <c r="BE66" s="494"/>
      <c r="BF66" s="493"/>
      <c r="BG66" s="491"/>
      <c r="BH66" s="491"/>
      <c r="BI66" s="491"/>
      <c r="BJ66" s="491"/>
      <c r="BK66" s="494"/>
      <c r="BL66" s="493"/>
      <c r="BM66" s="491"/>
      <c r="BN66" s="491"/>
      <c r="BO66" s="491"/>
      <c r="BP66" s="491"/>
      <c r="BQ66" s="494"/>
      <c r="BR66" s="315"/>
      <c r="BS66" s="315"/>
      <c r="BT66" s="315"/>
      <c r="BU66" s="315"/>
      <c r="BV66" s="315"/>
      <c r="BW66" s="315"/>
      <c r="BX66" s="315"/>
      <c r="BY66" s="315"/>
      <c r="BZ66" s="315"/>
    </row>
    <row r="67" spans="1:78" ht="15" customHeight="1">
      <c r="A67" s="510" t="str">
        <f>PTAout!C103</f>
        <v>Cycle parking</v>
      </c>
      <c r="B67" s="511"/>
      <c r="C67" s="512"/>
      <c r="D67" s="513"/>
      <c r="E67" s="513"/>
      <c r="F67" s="513"/>
      <c r="G67" s="513"/>
      <c r="H67" s="513"/>
      <c r="I67" s="513"/>
      <c r="J67" s="502"/>
      <c r="K67" s="502"/>
      <c r="L67" s="503"/>
      <c r="M67" s="504"/>
      <c r="N67" s="504"/>
      <c r="O67" s="504"/>
      <c r="P67" s="504"/>
      <c r="Q67" s="504"/>
      <c r="R67" s="504"/>
      <c r="S67" s="504"/>
      <c r="T67" s="504"/>
      <c r="U67" s="504"/>
      <c r="V67" s="505"/>
      <c r="W67" s="504"/>
      <c r="X67" s="504"/>
      <c r="Y67" s="504"/>
      <c r="Z67" s="504"/>
      <c r="AA67" s="506"/>
      <c r="AB67" s="505"/>
      <c r="AC67" s="504"/>
      <c r="AD67" s="504"/>
      <c r="AE67" s="504"/>
      <c r="AF67" s="504"/>
      <c r="AG67" s="506"/>
      <c r="AH67" s="505"/>
      <c r="AI67" s="504"/>
      <c r="AJ67" s="504"/>
      <c r="AK67" s="504"/>
      <c r="AL67" s="504"/>
      <c r="AM67" s="506"/>
      <c r="AN67" s="505"/>
      <c r="AO67" s="504"/>
      <c r="AP67" s="504"/>
      <c r="AQ67" s="504"/>
      <c r="AR67" s="504"/>
      <c r="AS67" s="506"/>
      <c r="AT67" s="505"/>
      <c r="AU67" s="504"/>
      <c r="AV67" s="504"/>
      <c r="AW67" s="504"/>
      <c r="AX67" s="504"/>
      <c r="AY67" s="506"/>
      <c r="AZ67" s="505"/>
      <c r="BA67" s="504"/>
      <c r="BB67" s="504"/>
      <c r="BC67" s="504"/>
      <c r="BD67" s="504"/>
      <c r="BE67" s="506"/>
      <c r="BF67" s="505"/>
      <c r="BG67" s="504"/>
      <c r="BH67" s="504"/>
      <c r="BI67" s="504"/>
      <c r="BJ67" s="504"/>
      <c r="BK67" s="506"/>
      <c r="BL67" s="505"/>
      <c r="BM67" s="504"/>
      <c r="BN67" s="504"/>
      <c r="BO67" s="504"/>
      <c r="BP67" s="504"/>
      <c r="BQ67" s="506"/>
      <c r="BR67" s="315"/>
      <c r="BS67" s="315"/>
      <c r="BT67" s="315"/>
      <c r="BU67" s="315"/>
      <c r="BV67" s="315"/>
      <c r="BW67" s="315"/>
      <c r="BX67" s="315"/>
      <c r="BY67" s="315"/>
      <c r="BZ67" s="315"/>
    </row>
    <row r="68" spans="1:78" ht="15" customHeight="1">
      <c r="A68" s="314"/>
      <c r="B68" s="110" t="str">
        <f>PTAout!D104</f>
        <v>Space</v>
      </c>
      <c r="C68" s="316"/>
      <c r="D68" s="318" t="str">
        <f>PTAout!H104</f>
        <v/>
      </c>
      <c r="E68" s="318" t="str">
        <f>PTAout!L104</f>
        <v/>
      </c>
      <c r="F68" s="318" t="str">
        <f>PTAout!Q104</f>
        <v/>
      </c>
      <c r="G68" s="318" t="str">
        <f>PTAout!V104</f>
        <v/>
      </c>
      <c r="H68" s="318" t="str">
        <f>PTAout!AA104</f>
        <v/>
      </c>
      <c r="I68" s="318" t="str">
        <f>PTAout!AF104</f>
        <v/>
      </c>
      <c r="J68" s="484">
        <f>IF(MCAin!O84="","",MCAin!O84)</f>
        <v>0</v>
      </c>
      <c r="K68" s="484">
        <f>IF(MCAin!P84="","",MCAin!P84)</f>
        <v>10</v>
      </c>
      <c r="L68" s="314"/>
      <c r="M68" s="534" t="str">
        <f>IF(AND(COUNTIF(D68:I68,"&gt;=0")=$D$1,J68&gt;=0,K68&gt;=0,MCAin!$Q84=""),1,"")</f>
        <v/>
      </c>
      <c r="N68" s="343" t="str">
        <f t="shared" ref="N68:S71" si="8">IF(OR($M68&lt;&gt;1,D68=""),"",(D68-$J68)/($K68-$J68))</f>
        <v/>
      </c>
      <c r="O68" s="343" t="str">
        <f t="shared" si="8"/>
        <v/>
      </c>
      <c r="P68" s="343" t="str">
        <f t="shared" si="8"/>
        <v/>
      </c>
      <c r="Q68" s="343" t="str">
        <f t="shared" si="8"/>
        <v/>
      </c>
      <c r="R68" s="343" t="str">
        <f t="shared" si="8"/>
        <v/>
      </c>
      <c r="S68" s="343" t="str">
        <f t="shared" si="8"/>
        <v/>
      </c>
      <c r="T68" s="343"/>
      <c r="U68" s="344"/>
      <c r="V68" s="463" t="str">
        <f>IF($N68="","",MCAin!$R84*$N68)</f>
        <v/>
      </c>
      <c r="W68" s="345" t="str">
        <f>IF($O68="","",MCAin!$R84*$O68)</f>
        <v/>
      </c>
      <c r="X68" s="345" t="str">
        <f>IF($P68="","",MCAin!$R84*$P68)</f>
        <v/>
      </c>
      <c r="Y68" s="345" t="str">
        <f>IF($Q68="","",MCAin!$R84*$Q68)</f>
        <v/>
      </c>
      <c r="Z68" s="345" t="str">
        <f>IF($R68="","",MCAin!$R84*$R68)</f>
        <v/>
      </c>
      <c r="AA68" s="347" t="str">
        <f>IF($S68="","",MCAin!$R84*$S68)</f>
        <v/>
      </c>
      <c r="AB68" s="463" t="str">
        <f>IF($N68="","",MCAin!$S84*$N68)</f>
        <v/>
      </c>
      <c r="AC68" s="345" t="str">
        <f>IF($O68="","",MCAin!$S84*$O68)</f>
        <v/>
      </c>
      <c r="AD68" s="345" t="str">
        <f>IF($P68="","",MCAin!$S84*$P68)</f>
        <v/>
      </c>
      <c r="AE68" s="345" t="str">
        <f>IF($Q68="","",MCAin!$R84*$Q68)</f>
        <v/>
      </c>
      <c r="AF68" s="345" t="str">
        <f>IF($R68="","",MCAin!$R84*$R68)</f>
        <v/>
      </c>
      <c r="AG68" s="347" t="str">
        <f>IF($S68="","",MCAin!$S84*$S68)</f>
        <v/>
      </c>
      <c r="AH68" s="463" t="str">
        <f>IF($N68="","",MCAin!$T84*$N68)</f>
        <v/>
      </c>
      <c r="AI68" s="345" t="str">
        <f>IF($O68="","",MCAin!$T84*$O68)</f>
        <v/>
      </c>
      <c r="AJ68" s="345" t="str">
        <f>IF($P68="","",MCAin!$T84*$P68)</f>
        <v/>
      </c>
      <c r="AK68" s="345" t="str">
        <f>IF($Q68="","",MCAin!$T84*$Q68)</f>
        <v/>
      </c>
      <c r="AL68" s="345" t="str">
        <f>IF($R68="","",MCAin!$R84*$R68)</f>
        <v/>
      </c>
      <c r="AM68" s="347" t="str">
        <f>IF($S68="","",MCAin!$S84*$S68)</f>
        <v/>
      </c>
      <c r="AN68" s="463" t="str">
        <f>IF($N68="","",MCAin!$U84*$N68)</f>
        <v/>
      </c>
      <c r="AO68" s="345" t="str">
        <f>IF($O68="","",MCAin!$U84*$O68)</f>
        <v/>
      </c>
      <c r="AP68" s="345" t="str">
        <f>IF($P68="","",MCAin!$U84*$P68)</f>
        <v/>
      </c>
      <c r="AQ68" s="345" t="str">
        <f>IF($Q68="","",MCAin!$U84*$Q68)</f>
        <v/>
      </c>
      <c r="AR68" s="345" t="str">
        <f>IF($R68="","",MCAin!$U84*$R68)</f>
        <v/>
      </c>
      <c r="AS68" s="347" t="str">
        <f>IF($S68="","",MCAin!$U84*$S68)</f>
        <v/>
      </c>
      <c r="AT68" s="463" t="str">
        <f>IF($N68="","",MCAin!$V84*$N68)</f>
        <v/>
      </c>
      <c r="AU68" s="345" t="str">
        <f>IF($O68="","",MCAin!$V84*$O68)</f>
        <v/>
      </c>
      <c r="AV68" s="345" t="str">
        <f>IF($P68="","",MCAin!$V84*$P68)</f>
        <v/>
      </c>
      <c r="AW68" s="345" t="str">
        <f>IF($Q68="","",MCAin!$V84*$Q68)</f>
        <v/>
      </c>
      <c r="AX68" s="345" t="str">
        <f>IF($R68="","",MCAin!$V84*$R68)</f>
        <v/>
      </c>
      <c r="AY68" s="347" t="str">
        <f>IF($S68="","",MCAin!$V84*$S68)</f>
        <v/>
      </c>
      <c r="AZ68" s="463" t="str">
        <f>IF($N68="","",MCAin!$W84*$N68)</f>
        <v/>
      </c>
      <c r="BA68" s="345" t="str">
        <f>IF($O68="","",MCAin!$W84*$O68)</f>
        <v/>
      </c>
      <c r="BB68" s="345" t="str">
        <f>IF($P68="","",MCAin!$W84*$P68)</f>
        <v/>
      </c>
      <c r="BC68" s="345" t="str">
        <f>IF($Q68="","",MCAin!$W84*$Q68)</f>
        <v/>
      </c>
      <c r="BD68" s="345" t="str">
        <f>IF($R68="","",MCAin!$W84*$R68)</f>
        <v/>
      </c>
      <c r="BE68" s="347" t="str">
        <f>IF($S68="","",MCAin!$W84*$S68)</f>
        <v/>
      </c>
      <c r="BF68" s="463" t="str">
        <f>IF($N68="","",MCAin!$X84*$N68)</f>
        <v/>
      </c>
      <c r="BG68" s="345" t="str">
        <f>IF($O68="","",MCAin!$X84*$O68)</f>
        <v/>
      </c>
      <c r="BH68" s="345" t="str">
        <f>IF($P68="","",MCAin!$X84*$P68)</f>
        <v/>
      </c>
      <c r="BI68" s="345" t="str">
        <f>IF($Q68="","",MCAin!$X84*$Q68)</f>
        <v/>
      </c>
      <c r="BJ68" s="345" t="str">
        <f>IF($R68="","",MCAin!$X84*$R68)</f>
        <v/>
      </c>
      <c r="BK68" s="347" t="str">
        <f>IF($S68="","",MCAin!$X84*$S68)</f>
        <v/>
      </c>
      <c r="BL68" s="463" t="str">
        <f>IF($N68="","",MCAin!$Y84*$N68)</f>
        <v/>
      </c>
      <c r="BM68" s="345" t="str">
        <f>IF($O68="","",MCAin!$Y84*$O68)</f>
        <v/>
      </c>
      <c r="BN68" s="345" t="str">
        <f>IF($P68="","",MCAin!$Y84*$P68)</f>
        <v/>
      </c>
      <c r="BO68" s="345" t="str">
        <f>IF($Q68="","",MCAin!$Y84*$Q68)</f>
        <v/>
      </c>
      <c r="BP68" s="345" t="str">
        <f>IF($R68="","",MCAin!$Y84*$R68)</f>
        <v/>
      </c>
      <c r="BQ68" s="347" t="str">
        <f>IF($S68="","",MCAin!$Y84*$S68)</f>
        <v/>
      </c>
      <c r="BR68" s="315"/>
      <c r="BS68" s="315"/>
      <c r="BT68" s="315"/>
      <c r="BU68" s="315"/>
      <c r="BV68" s="315"/>
      <c r="BW68" s="315"/>
      <c r="BX68" s="315"/>
      <c r="BY68" s="315"/>
      <c r="BZ68" s="315"/>
    </row>
    <row r="69" spans="1:78" ht="15" customHeight="1">
      <c r="A69" s="314"/>
      <c r="B69" s="110" t="str">
        <f>PTAout!D105</f>
        <v>Number of activities</v>
      </c>
      <c r="C69" s="316"/>
      <c r="D69" s="327" t="str">
        <f>PTAout!H105</f>
        <v/>
      </c>
      <c r="E69" s="327" t="str">
        <f>PTAout!L105</f>
        <v/>
      </c>
      <c r="F69" s="327" t="str">
        <f>PTAout!Q105</f>
        <v/>
      </c>
      <c r="G69" s="327" t="str">
        <f>PTAout!V105</f>
        <v/>
      </c>
      <c r="H69" s="327" t="str">
        <f>PTAout!AA105</f>
        <v/>
      </c>
      <c r="I69" s="327" t="str">
        <f>PTAout!AF105</f>
        <v/>
      </c>
      <c r="J69" s="487">
        <f>IF(MCAin!O85="","",MCAin!O85)</f>
        <v>0</v>
      </c>
      <c r="K69" s="487">
        <f>IF(MCAin!P85="","",MCAin!P85)</f>
        <v>500</v>
      </c>
      <c r="L69" s="314"/>
      <c r="M69" s="534" t="str">
        <f>IF(AND(COUNTIF(D69:I69,"&gt;=0")=$D$1,J69&gt;=0,K69&gt;=0,MCAin!$Q85=""),1,"")</f>
        <v/>
      </c>
      <c r="N69" s="343" t="str">
        <f t="shared" si="8"/>
        <v/>
      </c>
      <c r="O69" s="343" t="str">
        <f t="shared" si="8"/>
        <v/>
      </c>
      <c r="P69" s="343" t="str">
        <f t="shared" si="8"/>
        <v/>
      </c>
      <c r="Q69" s="343" t="str">
        <f t="shared" si="8"/>
        <v/>
      </c>
      <c r="R69" s="343" t="str">
        <f t="shared" si="8"/>
        <v/>
      </c>
      <c r="S69" s="343" t="str">
        <f t="shared" si="8"/>
        <v/>
      </c>
      <c r="T69" s="343"/>
      <c r="U69" s="344"/>
      <c r="V69" s="463" t="str">
        <f>IF($N69="","",MCAin!$R85*$N69)</f>
        <v/>
      </c>
      <c r="W69" s="345" t="str">
        <f>IF($O69="","",MCAin!$R85*$O69)</f>
        <v/>
      </c>
      <c r="X69" s="345" t="str">
        <f>IF($P69="","",MCAin!$R85*$P69)</f>
        <v/>
      </c>
      <c r="Y69" s="345" t="str">
        <f>IF($Q69="","",MCAin!$R85*$Q69)</f>
        <v/>
      </c>
      <c r="Z69" s="345" t="str">
        <f>IF($R69="","",MCAin!$R85*$R69)</f>
        <v/>
      </c>
      <c r="AA69" s="347" t="str">
        <f>IF($S69="","",MCAin!$R85*$S69)</f>
        <v/>
      </c>
      <c r="AB69" s="463" t="str">
        <f>IF($N69="","",MCAin!$S85*$N69)</f>
        <v/>
      </c>
      <c r="AC69" s="345" t="str">
        <f>IF($O69="","",MCAin!$S85*$O69)</f>
        <v/>
      </c>
      <c r="AD69" s="345" t="str">
        <f>IF($P69="","",MCAin!$S85*$P69)</f>
        <v/>
      </c>
      <c r="AE69" s="345" t="str">
        <f>IF($Q69="","",MCAin!$R85*$Q69)</f>
        <v/>
      </c>
      <c r="AF69" s="345" t="str">
        <f>IF($R69="","",MCAin!$R85*$R69)</f>
        <v/>
      </c>
      <c r="AG69" s="347" t="str">
        <f>IF($S69="","",MCAin!$S85*$S69)</f>
        <v/>
      </c>
      <c r="AH69" s="463" t="str">
        <f>IF($N69="","",MCAin!$T85*$N69)</f>
        <v/>
      </c>
      <c r="AI69" s="345" t="str">
        <f>IF($O69="","",MCAin!$T85*$O69)</f>
        <v/>
      </c>
      <c r="AJ69" s="345" t="str">
        <f>IF($P69="","",MCAin!$T85*$P69)</f>
        <v/>
      </c>
      <c r="AK69" s="345" t="str">
        <f>IF($Q69="","",MCAin!$T85*$Q69)</f>
        <v/>
      </c>
      <c r="AL69" s="345" t="str">
        <f>IF($R69="","",MCAin!$R85*$R69)</f>
        <v/>
      </c>
      <c r="AM69" s="347" t="str">
        <f>IF($S69="","",MCAin!$S85*$S69)</f>
        <v/>
      </c>
      <c r="AN69" s="463" t="str">
        <f>IF($N69="","",MCAin!$U85*$N69)</f>
        <v/>
      </c>
      <c r="AO69" s="345" t="str">
        <f>IF($O69="","",MCAin!$U85*$O69)</f>
        <v/>
      </c>
      <c r="AP69" s="345" t="str">
        <f>IF($P69="","",MCAin!$U85*$P69)</f>
        <v/>
      </c>
      <c r="AQ69" s="345" t="str">
        <f>IF($Q69="","",MCAin!$U85*$Q69)</f>
        <v/>
      </c>
      <c r="AR69" s="345" t="str">
        <f>IF($R69="","",MCAin!$U85*$R69)</f>
        <v/>
      </c>
      <c r="AS69" s="347" t="str">
        <f>IF($S69="","",MCAin!$U85*$S69)</f>
        <v/>
      </c>
      <c r="AT69" s="463" t="str">
        <f>IF($N69="","",MCAin!$V85*$N69)</f>
        <v/>
      </c>
      <c r="AU69" s="345" t="str">
        <f>IF($O69="","",MCAin!$V85*$O69)</f>
        <v/>
      </c>
      <c r="AV69" s="345" t="str">
        <f>IF($P69="","",MCAin!$V85*$P69)</f>
        <v/>
      </c>
      <c r="AW69" s="345" t="str">
        <f>IF($Q69="","",MCAin!$V85*$Q69)</f>
        <v/>
      </c>
      <c r="AX69" s="345" t="str">
        <f>IF($R69="","",MCAin!$V85*$R69)</f>
        <v/>
      </c>
      <c r="AY69" s="347" t="str">
        <f>IF($S69="","",MCAin!$V85*$S69)</f>
        <v/>
      </c>
      <c r="AZ69" s="463" t="str">
        <f>IF($N69="","",MCAin!$W85*$N69)</f>
        <v/>
      </c>
      <c r="BA69" s="345" t="str">
        <f>IF($O69="","",MCAin!$W85*$O69)</f>
        <v/>
      </c>
      <c r="BB69" s="345" t="str">
        <f>IF($P69="","",MCAin!$W85*$P69)</f>
        <v/>
      </c>
      <c r="BC69" s="345" t="str">
        <f>IF($Q69="","",MCAin!$W85*$Q69)</f>
        <v/>
      </c>
      <c r="BD69" s="345" t="str">
        <f>IF($R69="","",MCAin!$W85*$R69)</f>
        <v/>
      </c>
      <c r="BE69" s="347" t="str">
        <f>IF($S69="","",MCAin!$W85*$S69)</f>
        <v/>
      </c>
      <c r="BF69" s="463" t="str">
        <f>IF($N69="","",MCAin!$X85*$N69)</f>
        <v/>
      </c>
      <c r="BG69" s="345" t="str">
        <f>IF($O69="","",MCAin!$X85*$O69)</f>
        <v/>
      </c>
      <c r="BH69" s="345" t="str">
        <f>IF($P69="","",MCAin!$X85*$P69)</f>
        <v/>
      </c>
      <c r="BI69" s="345" t="str">
        <f>IF($Q69="","",MCAin!$X85*$Q69)</f>
        <v/>
      </c>
      <c r="BJ69" s="345" t="str">
        <f>IF($R69="","",MCAin!$X85*$R69)</f>
        <v/>
      </c>
      <c r="BK69" s="347" t="str">
        <f>IF($S69="","",MCAin!$X85*$S69)</f>
        <v/>
      </c>
      <c r="BL69" s="463" t="str">
        <f>IF($N69="","",MCAin!$Y85*$N69)</f>
        <v/>
      </c>
      <c r="BM69" s="345" t="str">
        <f>IF($O69="","",MCAin!$Y85*$O69)</f>
        <v/>
      </c>
      <c r="BN69" s="345" t="str">
        <f>IF($P69="","",MCAin!$Y85*$P69)</f>
        <v/>
      </c>
      <c r="BO69" s="345" t="str">
        <f>IF($Q69="","",MCAin!$Y85*$Q69)</f>
        <v/>
      </c>
      <c r="BP69" s="345" t="str">
        <f>IF($R69="","",MCAin!$Y85*$R69)</f>
        <v/>
      </c>
      <c r="BQ69" s="347" t="str">
        <f>IF($S69="","",MCAin!$Y85*$S69)</f>
        <v/>
      </c>
      <c r="BR69" s="315"/>
      <c r="BS69" s="315"/>
      <c r="BT69" s="315"/>
      <c r="BU69" s="315"/>
      <c r="BV69" s="315"/>
      <c r="BW69" s="315"/>
      <c r="BX69" s="315"/>
      <c r="BY69" s="315"/>
      <c r="BZ69" s="315"/>
    </row>
    <row r="70" spans="1:78" ht="15" customHeight="1">
      <c r="A70" s="314"/>
      <c r="B70" s="110" t="str">
        <f>PTAout!D106</f>
        <v>Duration</v>
      </c>
      <c r="C70" s="316"/>
      <c r="D70" s="318" t="str">
        <f>PTAout!H106</f>
        <v/>
      </c>
      <c r="E70" s="318" t="str">
        <f>PTAout!L106</f>
        <v/>
      </c>
      <c r="F70" s="318" t="str">
        <f>PTAout!Q106</f>
        <v/>
      </c>
      <c r="G70" s="318" t="str">
        <f>PTAout!V106</f>
        <v/>
      </c>
      <c r="H70" s="318" t="str">
        <f>PTAout!AA106</f>
        <v/>
      </c>
      <c r="I70" s="318" t="str">
        <f>PTAout!AF106</f>
        <v/>
      </c>
      <c r="J70" s="487">
        <f>IF(MCAin!O86="","",MCAin!O86)</f>
        <v>0</v>
      </c>
      <c r="K70" s="487">
        <f>IF(MCAin!P86="","",MCAin!P86)</f>
        <v>60</v>
      </c>
      <c r="L70" s="314"/>
      <c r="M70" s="534" t="str">
        <f>IF(AND(COUNTIF(D70:I70,"&gt;=0")=$D$1,J70&gt;=0,K70&gt;=0,MCAin!$Q86=""),1,"")</f>
        <v/>
      </c>
      <c r="N70" s="343" t="str">
        <f t="shared" si="8"/>
        <v/>
      </c>
      <c r="O70" s="343" t="str">
        <f t="shared" si="8"/>
        <v/>
      </c>
      <c r="P70" s="343" t="str">
        <f t="shared" si="8"/>
        <v/>
      </c>
      <c r="Q70" s="343" t="str">
        <f t="shared" si="8"/>
        <v/>
      </c>
      <c r="R70" s="343" t="str">
        <f t="shared" si="8"/>
        <v/>
      </c>
      <c r="S70" s="343" t="str">
        <f t="shared" si="8"/>
        <v/>
      </c>
      <c r="T70" s="343"/>
      <c r="U70" s="344"/>
      <c r="V70" s="463" t="str">
        <f>IF($N70="","",MCAin!$R86*$N70)</f>
        <v/>
      </c>
      <c r="W70" s="345" t="str">
        <f>IF($O70="","",MCAin!$R86*$O70)</f>
        <v/>
      </c>
      <c r="X70" s="345" t="str">
        <f>IF($P70="","",MCAin!$R86*$P70)</f>
        <v/>
      </c>
      <c r="Y70" s="345" t="str">
        <f>IF($Q70="","",MCAin!$R86*$Q70)</f>
        <v/>
      </c>
      <c r="Z70" s="345" t="str">
        <f>IF($R70="","",MCAin!$R86*$R70)</f>
        <v/>
      </c>
      <c r="AA70" s="347" t="str">
        <f>IF($S70="","",MCAin!$R86*$S70)</f>
        <v/>
      </c>
      <c r="AB70" s="463" t="str">
        <f>IF($N70="","",MCAin!$S86*$N70)</f>
        <v/>
      </c>
      <c r="AC70" s="345" t="str">
        <f>IF($O70="","",MCAin!$S86*$O70)</f>
        <v/>
      </c>
      <c r="AD70" s="345" t="str">
        <f>IF($P70="","",MCAin!$S86*$P70)</f>
        <v/>
      </c>
      <c r="AE70" s="345" t="str">
        <f>IF($Q70="","",MCAin!$R86*$Q70)</f>
        <v/>
      </c>
      <c r="AF70" s="345" t="str">
        <f>IF($R70="","",MCAin!$R86*$R70)</f>
        <v/>
      </c>
      <c r="AG70" s="347" t="str">
        <f>IF($S70="","",MCAin!$S86*$S70)</f>
        <v/>
      </c>
      <c r="AH70" s="463" t="str">
        <f>IF($N70="","",MCAin!$T86*$N70)</f>
        <v/>
      </c>
      <c r="AI70" s="345" t="str">
        <f>IF($O70="","",MCAin!$T86*$O70)</f>
        <v/>
      </c>
      <c r="AJ70" s="345" t="str">
        <f>IF($P70="","",MCAin!$T86*$P70)</f>
        <v/>
      </c>
      <c r="AK70" s="345" t="str">
        <f>IF($Q70="","",MCAin!$T86*$Q70)</f>
        <v/>
      </c>
      <c r="AL70" s="345" t="str">
        <f>IF($R70="","",MCAin!$R86*$R70)</f>
        <v/>
      </c>
      <c r="AM70" s="347" t="str">
        <f>IF($S70="","",MCAin!$S86*$S70)</f>
        <v/>
      </c>
      <c r="AN70" s="463" t="str">
        <f>IF($N70="","",MCAin!$U86*$N70)</f>
        <v/>
      </c>
      <c r="AO70" s="345" t="str">
        <f>IF($O70="","",MCAin!$U86*$O70)</f>
        <v/>
      </c>
      <c r="AP70" s="345" t="str">
        <f>IF($P70="","",MCAin!$U86*$P70)</f>
        <v/>
      </c>
      <c r="AQ70" s="345" t="str">
        <f>IF($Q70="","",MCAin!$U86*$Q70)</f>
        <v/>
      </c>
      <c r="AR70" s="345" t="str">
        <f>IF($R70="","",MCAin!$U86*$R70)</f>
        <v/>
      </c>
      <c r="AS70" s="347" t="str">
        <f>IF($S70="","",MCAin!$U86*$S70)</f>
        <v/>
      </c>
      <c r="AT70" s="463" t="str">
        <f>IF($N70="","",MCAin!$V86*$N70)</f>
        <v/>
      </c>
      <c r="AU70" s="345" t="str">
        <f>IF($O70="","",MCAin!$V86*$O70)</f>
        <v/>
      </c>
      <c r="AV70" s="345" t="str">
        <f>IF($P70="","",MCAin!$V86*$P70)</f>
        <v/>
      </c>
      <c r="AW70" s="345" t="str">
        <f>IF($Q70="","",MCAin!$V86*$Q70)</f>
        <v/>
      </c>
      <c r="AX70" s="345" t="str">
        <f>IF($R70="","",MCAin!$V86*$R70)</f>
        <v/>
      </c>
      <c r="AY70" s="347" t="str">
        <f>IF($S70="","",MCAin!$V86*$S70)</f>
        <v/>
      </c>
      <c r="AZ70" s="463" t="str">
        <f>IF($N70="","",MCAin!$W86*$N70)</f>
        <v/>
      </c>
      <c r="BA70" s="345" t="str">
        <f>IF($O70="","",MCAin!$W86*$O70)</f>
        <v/>
      </c>
      <c r="BB70" s="345" t="str">
        <f>IF($P70="","",MCAin!$W86*$P70)</f>
        <v/>
      </c>
      <c r="BC70" s="345" t="str">
        <f>IF($Q70="","",MCAin!$W86*$Q70)</f>
        <v/>
      </c>
      <c r="BD70" s="345" t="str">
        <f>IF($R70="","",MCAin!$W86*$R70)</f>
        <v/>
      </c>
      <c r="BE70" s="347" t="str">
        <f>IF($S70="","",MCAin!$W86*$S70)</f>
        <v/>
      </c>
      <c r="BF70" s="463" t="str">
        <f>IF($N70="","",MCAin!$X86*$N70)</f>
        <v/>
      </c>
      <c r="BG70" s="345" t="str">
        <f>IF($O70="","",MCAin!$X86*$O70)</f>
        <v/>
      </c>
      <c r="BH70" s="345" t="str">
        <f>IF($P70="","",MCAin!$X86*$P70)</f>
        <v/>
      </c>
      <c r="BI70" s="345" t="str">
        <f>IF($Q70="","",MCAin!$X86*$Q70)</f>
        <v/>
      </c>
      <c r="BJ70" s="345" t="str">
        <f>IF($R70="","",MCAin!$X86*$R70)</f>
        <v/>
      </c>
      <c r="BK70" s="347" t="str">
        <f>IF($S70="","",MCAin!$X86*$S70)</f>
        <v/>
      </c>
      <c r="BL70" s="463" t="str">
        <f>IF($N70="","",MCAin!$Y86*$N70)</f>
        <v/>
      </c>
      <c r="BM70" s="345" t="str">
        <f>IF($O70="","",MCAin!$Y86*$O70)</f>
        <v/>
      </c>
      <c r="BN70" s="345" t="str">
        <f>IF($P70="","",MCAin!$Y86*$P70)</f>
        <v/>
      </c>
      <c r="BO70" s="345" t="str">
        <f>IF($Q70="","",MCAin!$Y86*$Q70)</f>
        <v/>
      </c>
      <c r="BP70" s="345" t="str">
        <f>IF($R70="","",MCAin!$Y86*$R70)</f>
        <v/>
      </c>
      <c r="BQ70" s="347" t="str">
        <f>IF($S70="","",MCAin!$Y86*$S70)</f>
        <v/>
      </c>
      <c r="BR70" s="315"/>
      <c r="BS70" s="315"/>
      <c r="BT70" s="315"/>
      <c r="BU70" s="315"/>
      <c r="BV70" s="315"/>
      <c r="BW70" s="315"/>
      <c r="BX70" s="315"/>
      <c r="BY70" s="315"/>
      <c r="BZ70" s="315"/>
    </row>
    <row r="71" spans="1:78" ht="15" customHeight="1">
      <c r="A71" s="320"/>
      <c r="B71" s="118" t="str">
        <f>PTAout!D107</f>
        <v>Quality</v>
      </c>
      <c r="C71" s="321"/>
      <c r="D71" s="328" t="str">
        <f>PTAout!H107</f>
        <v/>
      </c>
      <c r="E71" s="328" t="str">
        <f>PTAout!L107</f>
        <v/>
      </c>
      <c r="F71" s="328" t="str">
        <f>PTAout!Q107</f>
        <v/>
      </c>
      <c r="G71" s="328" t="str">
        <f>PTAout!V107</f>
        <v/>
      </c>
      <c r="H71" s="328" t="str">
        <f>PTAout!AA107</f>
        <v/>
      </c>
      <c r="I71" s="328" t="str">
        <f>PTAout!AF107</f>
        <v/>
      </c>
      <c r="J71" s="489">
        <f>IF(MCAin!O87="","",MCAin!O87)</f>
        <v>5</v>
      </c>
      <c r="K71" s="489">
        <f>IF(MCAin!P87="","",MCAin!P87)</f>
        <v>0</v>
      </c>
      <c r="L71" s="314"/>
      <c r="M71" s="534" t="str">
        <f>IF(AND(COUNTIF(D71:I71,"&gt;=0")=$D$1,J71&gt;=0,K71&gt;=0,MCAin!$Q87=""),1,"")</f>
        <v/>
      </c>
      <c r="N71" s="492" t="str">
        <f t="shared" si="8"/>
        <v/>
      </c>
      <c r="O71" s="492" t="str">
        <f t="shared" si="8"/>
        <v/>
      </c>
      <c r="P71" s="492" t="str">
        <f t="shared" si="8"/>
        <v/>
      </c>
      <c r="Q71" s="492" t="str">
        <f t="shared" si="8"/>
        <v/>
      </c>
      <c r="R71" s="492" t="str">
        <f t="shared" si="8"/>
        <v/>
      </c>
      <c r="S71" s="492" t="str">
        <f t="shared" si="8"/>
        <v/>
      </c>
      <c r="T71" s="343"/>
      <c r="U71" s="344"/>
      <c r="V71" s="495" t="str">
        <f>IF($N71="","",MCAin!$R87*$N71)</f>
        <v/>
      </c>
      <c r="W71" s="496" t="str">
        <f>IF($O71="","",MCAin!$R87*$O71)</f>
        <v/>
      </c>
      <c r="X71" s="496" t="str">
        <f>IF($P71="","",MCAin!$R87*$P71)</f>
        <v/>
      </c>
      <c r="Y71" s="496" t="str">
        <f>IF($Q71="","",MCAin!$R87*$Q71)</f>
        <v/>
      </c>
      <c r="Z71" s="496" t="str">
        <f>IF($R71="","",MCAin!$R87*$R71)</f>
        <v/>
      </c>
      <c r="AA71" s="497" t="str">
        <f>IF($S71="","",MCAin!$R87*$S71)</f>
        <v/>
      </c>
      <c r="AB71" s="495" t="str">
        <f>IF($N71="","",MCAin!$S87*$N71)</f>
        <v/>
      </c>
      <c r="AC71" s="496" t="str">
        <f>IF($O71="","",MCAin!$S87*$O71)</f>
        <v/>
      </c>
      <c r="AD71" s="496" t="str">
        <f>IF($P71="","",MCAin!$S87*$P71)</f>
        <v/>
      </c>
      <c r="AE71" s="496" t="str">
        <f>IF($Q71="","",MCAin!$R87*$Q71)</f>
        <v/>
      </c>
      <c r="AF71" s="496" t="str">
        <f>IF($R71="","",MCAin!$R87*$R71)</f>
        <v/>
      </c>
      <c r="AG71" s="497" t="str">
        <f>IF($S71="","",MCAin!$S87*$S71)</f>
        <v/>
      </c>
      <c r="AH71" s="495" t="str">
        <f>IF($N71="","",MCAin!$T87*$N71)</f>
        <v/>
      </c>
      <c r="AI71" s="496" t="str">
        <f>IF($O71="","",MCAin!$T87*$O71)</f>
        <v/>
      </c>
      <c r="AJ71" s="496" t="str">
        <f>IF($P71="","",MCAin!$T87*$P71)</f>
        <v/>
      </c>
      <c r="AK71" s="496" t="str">
        <f>IF($Q71="","",MCAin!$T87*$Q71)</f>
        <v/>
      </c>
      <c r="AL71" s="496" t="str">
        <f>IF($R71="","",MCAin!$R87*$R71)</f>
        <v/>
      </c>
      <c r="AM71" s="497" t="str">
        <f>IF($S71="","",MCAin!$S87*$S71)</f>
        <v/>
      </c>
      <c r="AN71" s="495" t="str">
        <f>IF($N71="","",MCAin!$U87*$N71)</f>
        <v/>
      </c>
      <c r="AO71" s="496" t="str">
        <f>IF($O71="","",MCAin!$U87*$O71)</f>
        <v/>
      </c>
      <c r="AP71" s="496" t="str">
        <f>IF($P71="","",MCAin!$U87*$P71)</f>
        <v/>
      </c>
      <c r="AQ71" s="496" t="str">
        <f>IF($Q71="","",MCAin!$U87*$Q71)</f>
        <v/>
      </c>
      <c r="AR71" s="496" t="str">
        <f>IF($R71="","",MCAin!$U87*$R71)</f>
        <v/>
      </c>
      <c r="AS71" s="497" t="str">
        <f>IF($S71="","",MCAin!$U87*$S71)</f>
        <v/>
      </c>
      <c r="AT71" s="495" t="str">
        <f>IF($N71="","",MCAin!$V87*$N71)</f>
        <v/>
      </c>
      <c r="AU71" s="496" t="str">
        <f>IF($O71="","",MCAin!$V87*$O71)</f>
        <v/>
      </c>
      <c r="AV71" s="496" t="str">
        <f>IF($P71="","",MCAin!$V87*$P71)</f>
        <v/>
      </c>
      <c r="AW71" s="496" t="str">
        <f>IF($Q71="","",MCAin!$V87*$Q71)</f>
        <v/>
      </c>
      <c r="AX71" s="496" t="str">
        <f>IF($R71="","",MCAin!$V87*$R71)</f>
        <v/>
      </c>
      <c r="AY71" s="497" t="str">
        <f>IF($S71="","",MCAin!$V87*$S71)</f>
        <v/>
      </c>
      <c r="AZ71" s="495" t="str">
        <f>IF($N71="","",MCAin!$W87*$N71)</f>
        <v/>
      </c>
      <c r="BA71" s="496" t="str">
        <f>IF($O71="","",MCAin!$W87*$O71)</f>
        <v/>
      </c>
      <c r="BB71" s="496" t="str">
        <f>IF($P71="","",MCAin!$W87*$P71)</f>
        <v/>
      </c>
      <c r="BC71" s="496" t="str">
        <f>IF($Q71="","",MCAin!$W87*$Q71)</f>
        <v/>
      </c>
      <c r="BD71" s="496" t="str">
        <f>IF($R71="","",MCAin!$W87*$R71)</f>
        <v/>
      </c>
      <c r="BE71" s="497" t="str">
        <f>IF($S71="","",MCAin!$W87*$S71)</f>
        <v/>
      </c>
      <c r="BF71" s="495" t="str">
        <f>IF($N71="","",MCAin!$X87*$N71)</f>
        <v/>
      </c>
      <c r="BG71" s="496" t="str">
        <f>IF($O71="","",MCAin!$X87*$O71)</f>
        <v/>
      </c>
      <c r="BH71" s="496" t="str">
        <f>IF($P71="","",MCAin!$X87*$P71)</f>
        <v/>
      </c>
      <c r="BI71" s="496" t="str">
        <f>IF($Q71="","",MCAin!$X87*$Q71)</f>
        <v/>
      </c>
      <c r="BJ71" s="496" t="str">
        <f>IF($R71="","",MCAin!$X87*$R71)</f>
        <v/>
      </c>
      <c r="BK71" s="497" t="str">
        <f>IF($S71="","",MCAin!$X87*$S71)</f>
        <v/>
      </c>
      <c r="BL71" s="495" t="str">
        <f>IF($N71="","",MCAin!$Y87*$N71)</f>
        <v/>
      </c>
      <c r="BM71" s="496" t="str">
        <f>IF($O71="","",MCAin!$Y87*$O71)</f>
        <v/>
      </c>
      <c r="BN71" s="496" t="str">
        <f>IF($P71="","",MCAin!$Y87*$P71)</f>
        <v/>
      </c>
      <c r="BO71" s="496" t="str">
        <f>IF($Q71="","",MCAin!$Y87*$Q71)</f>
        <v/>
      </c>
      <c r="BP71" s="496" t="str">
        <f>IF($R71="","",MCAin!$Y87*$R71)</f>
        <v/>
      </c>
      <c r="BQ71" s="497" t="str">
        <f>IF($S71="","",MCAin!$Y87*$S71)</f>
        <v/>
      </c>
      <c r="BR71" s="315"/>
      <c r="BS71" s="315"/>
      <c r="BT71" s="315"/>
      <c r="BU71" s="315"/>
      <c r="BV71" s="315"/>
      <c r="BW71" s="315"/>
      <c r="BX71" s="315"/>
      <c r="BY71" s="315"/>
      <c r="BZ71" s="315"/>
    </row>
    <row r="72" spans="1:78" ht="15" customHeight="1">
      <c r="A72" s="510" t="str">
        <f>PTAout!C108</f>
        <v>Cycle parking (dock)</v>
      </c>
      <c r="B72" s="511"/>
      <c r="C72" s="500"/>
      <c r="D72" s="501"/>
      <c r="E72" s="501"/>
      <c r="F72" s="501"/>
      <c r="G72" s="501"/>
      <c r="H72" s="501"/>
      <c r="I72" s="501"/>
      <c r="J72" s="502"/>
      <c r="K72" s="502"/>
      <c r="L72" s="503"/>
      <c r="M72" s="504"/>
      <c r="N72" s="504"/>
      <c r="O72" s="504"/>
      <c r="P72" s="504"/>
      <c r="Q72" s="504"/>
      <c r="R72" s="504"/>
      <c r="S72" s="504"/>
      <c r="T72" s="504"/>
      <c r="U72" s="504"/>
      <c r="V72" s="507"/>
      <c r="W72" s="508"/>
      <c r="X72" s="508"/>
      <c r="Y72" s="508"/>
      <c r="Z72" s="508"/>
      <c r="AA72" s="509"/>
      <c r="AB72" s="507"/>
      <c r="AC72" s="508"/>
      <c r="AD72" s="508"/>
      <c r="AE72" s="508"/>
      <c r="AF72" s="508"/>
      <c r="AG72" s="509"/>
      <c r="AH72" s="507"/>
      <c r="AI72" s="508"/>
      <c r="AJ72" s="508"/>
      <c r="AK72" s="508"/>
      <c r="AL72" s="508"/>
      <c r="AM72" s="509"/>
      <c r="AN72" s="507"/>
      <c r="AO72" s="508"/>
      <c r="AP72" s="508"/>
      <c r="AQ72" s="508"/>
      <c r="AR72" s="508"/>
      <c r="AS72" s="509"/>
      <c r="AT72" s="507"/>
      <c r="AU72" s="508"/>
      <c r="AV72" s="508"/>
      <c r="AW72" s="508"/>
      <c r="AX72" s="508"/>
      <c r="AY72" s="509"/>
      <c r="AZ72" s="507"/>
      <c r="BA72" s="508"/>
      <c r="BB72" s="508"/>
      <c r="BC72" s="508"/>
      <c r="BD72" s="508"/>
      <c r="BE72" s="509"/>
      <c r="BF72" s="507"/>
      <c r="BG72" s="508"/>
      <c r="BH72" s="508"/>
      <c r="BI72" s="508"/>
      <c r="BJ72" s="508"/>
      <c r="BK72" s="509"/>
      <c r="BL72" s="507"/>
      <c r="BM72" s="508"/>
      <c r="BN72" s="508"/>
      <c r="BO72" s="508"/>
      <c r="BP72" s="508"/>
      <c r="BQ72" s="509"/>
      <c r="BR72" s="315"/>
      <c r="BS72" s="315"/>
      <c r="BT72" s="315"/>
      <c r="BU72" s="315"/>
      <c r="BV72" s="315"/>
      <c r="BW72" s="315"/>
      <c r="BX72" s="315"/>
      <c r="BY72" s="315"/>
      <c r="BZ72" s="315"/>
    </row>
    <row r="73" spans="1:78" ht="15" customHeight="1">
      <c r="A73" s="314"/>
      <c r="B73" s="110" t="str">
        <f>PTAout!D109</f>
        <v>Space</v>
      </c>
      <c r="C73" s="316"/>
      <c r="D73" s="318" t="str">
        <f>PTAout!H109</f>
        <v/>
      </c>
      <c r="E73" s="318" t="str">
        <f>PTAout!L109</f>
        <v/>
      </c>
      <c r="F73" s="318" t="str">
        <f>PTAout!Q109</f>
        <v/>
      </c>
      <c r="G73" s="318" t="str">
        <f>PTAout!V109</f>
        <v/>
      </c>
      <c r="H73" s="318" t="str">
        <f>PTAout!AA109</f>
        <v/>
      </c>
      <c r="I73" s="318" t="str">
        <f>PTAout!AF109</f>
        <v/>
      </c>
      <c r="J73" s="484">
        <f>IF(MCAin!O89="","",MCAin!O89)</f>
        <v>0</v>
      </c>
      <c r="K73" s="484">
        <f>IF(MCAin!P89="","",MCAin!P89)</f>
        <v>10</v>
      </c>
      <c r="L73" s="314"/>
      <c r="M73" s="534" t="str">
        <f>IF(AND(COUNTIF(D73:I73,"&gt;=0")=$D$1,J73&gt;=0,K73&gt;=0,MCAin!$Q89=""),1,"")</f>
        <v/>
      </c>
      <c r="N73" s="343" t="str">
        <f t="shared" ref="N73:S76" si="9">IF(OR($M73&lt;&gt;1,D73=""),"",(D73-$J73)/($K73-$J73))</f>
        <v/>
      </c>
      <c r="O73" s="343" t="str">
        <f t="shared" si="9"/>
        <v/>
      </c>
      <c r="P73" s="343" t="str">
        <f t="shared" si="9"/>
        <v/>
      </c>
      <c r="Q73" s="343" t="str">
        <f t="shared" si="9"/>
        <v/>
      </c>
      <c r="R73" s="343" t="str">
        <f t="shared" si="9"/>
        <v/>
      </c>
      <c r="S73" s="343" t="str">
        <f t="shared" si="9"/>
        <v/>
      </c>
      <c r="T73" s="343"/>
      <c r="U73" s="344"/>
      <c r="V73" s="463" t="str">
        <f>IF($N73="","",MCAin!$R89*$N73)</f>
        <v/>
      </c>
      <c r="W73" s="345" t="str">
        <f>IF($O73="","",MCAin!$R89*$O73)</f>
        <v/>
      </c>
      <c r="X73" s="345" t="str">
        <f>IF($P73="","",MCAin!$R89*$P73)</f>
        <v/>
      </c>
      <c r="Y73" s="345" t="str">
        <f>IF($Q73="","",MCAin!$R89*$Q73)</f>
        <v/>
      </c>
      <c r="Z73" s="345" t="str">
        <f>IF($R73="","",MCAin!$R89*$R73)</f>
        <v/>
      </c>
      <c r="AA73" s="347" t="str">
        <f>IF($S73="","",MCAin!$R89*$S73)</f>
        <v/>
      </c>
      <c r="AB73" s="463" t="str">
        <f>IF($N73="","",MCAin!$S89*$N73)</f>
        <v/>
      </c>
      <c r="AC73" s="345" t="str">
        <f>IF($O73="","",MCAin!$S89*$O73)</f>
        <v/>
      </c>
      <c r="AD73" s="345" t="str">
        <f>IF($P73="","",MCAin!$S89*$P73)</f>
        <v/>
      </c>
      <c r="AE73" s="345" t="str">
        <f>IF($Q73="","",MCAin!$R89*$Q73)</f>
        <v/>
      </c>
      <c r="AF73" s="345" t="str">
        <f>IF($R73="","",MCAin!$R89*$R73)</f>
        <v/>
      </c>
      <c r="AG73" s="347" t="str">
        <f>IF($S73="","",MCAin!$S89*$S73)</f>
        <v/>
      </c>
      <c r="AH73" s="463" t="str">
        <f>IF($N73="","",MCAin!$T89*$N73)</f>
        <v/>
      </c>
      <c r="AI73" s="345" t="str">
        <f>IF($O73="","",MCAin!$T89*$O73)</f>
        <v/>
      </c>
      <c r="AJ73" s="345" t="str">
        <f>IF($P73="","",MCAin!$T89*$P73)</f>
        <v/>
      </c>
      <c r="AK73" s="345" t="str">
        <f>IF($Q73="","",MCAin!$T89*$Q73)</f>
        <v/>
      </c>
      <c r="AL73" s="345" t="str">
        <f>IF($R73="","",MCAin!$R89*$R73)</f>
        <v/>
      </c>
      <c r="AM73" s="347" t="str">
        <f>IF($S73="","",MCAin!$S89*$S73)</f>
        <v/>
      </c>
      <c r="AN73" s="463" t="str">
        <f>IF($N73="","",MCAin!$U89*$N73)</f>
        <v/>
      </c>
      <c r="AO73" s="345" t="str">
        <f>IF($O73="","",MCAin!$U89*$O73)</f>
        <v/>
      </c>
      <c r="AP73" s="345" t="str">
        <f>IF($P73="","",MCAin!$U89*$P73)</f>
        <v/>
      </c>
      <c r="AQ73" s="345" t="str">
        <f>IF($Q73="","",MCAin!$U89*$Q73)</f>
        <v/>
      </c>
      <c r="AR73" s="345" t="str">
        <f>IF($R73="","",MCAin!$U89*$R73)</f>
        <v/>
      </c>
      <c r="AS73" s="347" t="str">
        <f>IF($S73="","",MCAin!$U89*$S73)</f>
        <v/>
      </c>
      <c r="AT73" s="463" t="str">
        <f>IF($N73="","",MCAin!$V89*$N73)</f>
        <v/>
      </c>
      <c r="AU73" s="345" t="str">
        <f>IF($O73="","",MCAin!$V89*$O73)</f>
        <v/>
      </c>
      <c r="AV73" s="345" t="str">
        <f>IF($P73="","",MCAin!$V89*$P73)</f>
        <v/>
      </c>
      <c r="AW73" s="345" t="str">
        <f>IF($Q73="","",MCAin!$V89*$Q73)</f>
        <v/>
      </c>
      <c r="AX73" s="345" t="str">
        <f>IF($R73="","",MCAin!$V89*$R73)</f>
        <v/>
      </c>
      <c r="AY73" s="347" t="str">
        <f>IF($S73="","",MCAin!$V89*$S73)</f>
        <v/>
      </c>
      <c r="AZ73" s="463" t="str">
        <f>IF($N73="","",MCAin!$W89*$N73)</f>
        <v/>
      </c>
      <c r="BA73" s="345" t="str">
        <f>IF($O73="","",MCAin!$W89*$O73)</f>
        <v/>
      </c>
      <c r="BB73" s="345" t="str">
        <f>IF($P73="","",MCAin!$W89*$P73)</f>
        <v/>
      </c>
      <c r="BC73" s="345" t="str">
        <f>IF($Q73="","",MCAin!$W89*$Q73)</f>
        <v/>
      </c>
      <c r="BD73" s="345" t="str">
        <f>IF($R73="","",MCAin!$W89*$R73)</f>
        <v/>
      </c>
      <c r="BE73" s="347" t="str">
        <f>IF($S73="","",MCAin!$W89*$S73)</f>
        <v/>
      </c>
      <c r="BF73" s="463" t="str">
        <f>IF($N73="","",MCAin!$X89*$N73)</f>
        <v/>
      </c>
      <c r="BG73" s="345" t="str">
        <f>IF($O73="","",MCAin!$X89*$O73)</f>
        <v/>
      </c>
      <c r="BH73" s="345" t="str">
        <f>IF($P73="","",MCAin!$X89*$P73)</f>
        <v/>
      </c>
      <c r="BI73" s="345" t="str">
        <f>IF($Q73="","",MCAin!$X89*$Q73)</f>
        <v/>
      </c>
      <c r="BJ73" s="345" t="str">
        <f>IF($R73="","",MCAin!$X89*$R73)</f>
        <v/>
      </c>
      <c r="BK73" s="347" t="str">
        <f>IF($S73="","",MCAin!$X89*$S73)</f>
        <v/>
      </c>
      <c r="BL73" s="463" t="str">
        <f>IF($N73="","",MCAin!$Y89*$N73)</f>
        <v/>
      </c>
      <c r="BM73" s="345" t="str">
        <f>IF($O73="","",MCAin!$Y89*$O73)</f>
        <v/>
      </c>
      <c r="BN73" s="345" t="str">
        <f>IF($P73="","",MCAin!$Y89*$P73)</f>
        <v/>
      </c>
      <c r="BO73" s="345" t="str">
        <f>IF($Q73="","",MCAin!$Y89*$Q73)</f>
        <v/>
      </c>
      <c r="BP73" s="345" t="str">
        <f>IF($R73="","",MCAin!$Y89*$R73)</f>
        <v/>
      </c>
      <c r="BQ73" s="347" t="str">
        <f>IF($S73="","",MCAin!$Y89*$S73)</f>
        <v/>
      </c>
      <c r="BR73" s="315"/>
      <c r="BS73" s="315"/>
      <c r="BT73" s="315"/>
      <c r="BU73" s="315"/>
      <c r="BV73" s="315"/>
      <c r="BW73" s="315"/>
      <c r="BX73" s="315"/>
      <c r="BY73" s="315"/>
      <c r="BZ73" s="315"/>
    </row>
    <row r="74" spans="1:78" ht="15" customHeight="1">
      <c r="A74" s="314"/>
      <c r="B74" s="110" t="str">
        <f>PTAout!D110</f>
        <v>Number of activities</v>
      </c>
      <c r="C74" s="316"/>
      <c r="D74" s="327" t="str">
        <f>PTAout!H110</f>
        <v/>
      </c>
      <c r="E74" s="327" t="str">
        <f>PTAout!L110</f>
        <v/>
      </c>
      <c r="F74" s="327" t="str">
        <f>PTAout!Q110</f>
        <v/>
      </c>
      <c r="G74" s="327" t="str">
        <f>PTAout!V110</f>
        <v/>
      </c>
      <c r="H74" s="327" t="str">
        <f>PTAout!AA110</f>
        <v/>
      </c>
      <c r="I74" s="327" t="str">
        <f>PTAout!AF110</f>
        <v/>
      </c>
      <c r="J74" s="487" t="str">
        <f>IF(MCAin!O90="","",MCAin!O90)</f>
        <v/>
      </c>
      <c r="K74" s="487" t="str">
        <f>IF(MCAin!P90="","",MCAin!P90)</f>
        <v/>
      </c>
      <c r="L74" s="314"/>
      <c r="M74" s="534" t="str">
        <f>IF(AND(COUNTIF(D74:I74,"&gt;=0")=$D$1,J74&gt;=0,K74&gt;=0,MCAin!$Q90=""),1,"")</f>
        <v/>
      </c>
      <c r="N74" s="343" t="str">
        <f t="shared" si="9"/>
        <v/>
      </c>
      <c r="O74" s="343" t="str">
        <f t="shared" si="9"/>
        <v/>
      </c>
      <c r="P74" s="343" t="str">
        <f t="shared" si="9"/>
        <v/>
      </c>
      <c r="Q74" s="343" t="str">
        <f t="shared" si="9"/>
        <v/>
      </c>
      <c r="R74" s="343" t="str">
        <f t="shared" si="9"/>
        <v/>
      </c>
      <c r="S74" s="343" t="str">
        <f t="shared" si="9"/>
        <v/>
      </c>
      <c r="T74" s="343"/>
      <c r="U74" s="344"/>
      <c r="V74" s="463" t="str">
        <f>IF($N74="","",MCAin!$R90*$N74)</f>
        <v/>
      </c>
      <c r="W74" s="345" t="str">
        <f>IF($O74="","",MCAin!$R90*$O74)</f>
        <v/>
      </c>
      <c r="X74" s="345" t="str">
        <f>IF($P74="","",MCAin!$R90*$P74)</f>
        <v/>
      </c>
      <c r="Y74" s="345" t="str">
        <f>IF($Q74="","",MCAin!$R90*$Q74)</f>
        <v/>
      </c>
      <c r="Z74" s="345" t="str">
        <f>IF($R74="","",MCAin!$R90*$R74)</f>
        <v/>
      </c>
      <c r="AA74" s="347" t="str">
        <f>IF($S74="","",MCAin!$R90*$S74)</f>
        <v/>
      </c>
      <c r="AB74" s="463" t="str">
        <f>IF($N74="","",MCAin!$S90*$N74)</f>
        <v/>
      </c>
      <c r="AC74" s="345" t="str">
        <f>IF($O74="","",MCAin!$S90*$O74)</f>
        <v/>
      </c>
      <c r="AD74" s="345" t="str">
        <f>IF($P74="","",MCAin!$S90*$P74)</f>
        <v/>
      </c>
      <c r="AE74" s="345" t="str">
        <f>IF($Q74="","",MCAin!$R90*$Q74)</f>
        <v/>
      </c>
      <c r="AF74" s="345" t="str">
        <f>IF($R74="","",MCAin!$R90*$R74)</f>
        <v/>
      </c>
      <c r="AG74" s="347" t="str">
        <f>IF($S74="","",MCAin!$S90*$S74)</f>
        <v/>
      </c>
      <c r="AH74" s="463" t="str">
        <f>IF($N74="","",MCAin!$T90*$N74)</f>
        <v/>
      </c>
      <c r="AI74" s="345" t="str">
        <f>IF($O74="","",MCAin!$T90*$O74)</f>
        <v/>
      </c>
      <c r="AJ74" s="345" t="str">
        <f>IF($P74="","",MCAin!$T90*$P74)</f>
        <v/>
      </c>
      <c r="AK74" s="345" t="str">
        <f>IF($Q74="","",MCAin!$T90*$Q74)</f>
        <v/>
      </c>
      <c r="AL74" s="345" t="str">
        <f>IF($R74="","",MCAin!$R90*$R74)</f>
        <v/>
      </c>
      <c r="AM74" s="347" t="str">
        <f>IF($S74="","",MCAin!$S90*$S74)</f>
        <v/>
      </c>
      <c r="AN74" s="463" t="str">
        <f>IF($N74="","",MCAin!$U90*$N74)</f>
        <v/>
      </c>
      <c r="AO74" s="345" t="str">
        <f>IF($O74="","",MCAin!$U90*$O74)</f>
        <v/>
      </c>
      <c r="AP74" s="345" t="str">
        <f>IF($P74="","",MCAin!$U90*$P74)</f>
        <v/>
      </c>
      <c r="AQ74" s="345" t="str">
        <f>IF($Q74="","",MCAin!$U90*$Q74)</f>
        <v/>
      </c>
      <c r="AR74" s="345" t="str">
        <f>IF($R74="","",MCAin!$U90*$R74)</f>
        <v/>
      </c>
      <c r="AS74" s="347" t="str">
        <f>IF($S74="","",MCAin!$U90*$S74)</f>
        <v/>
      </c>
      <c r="AT74" s="463" t="str">
        <f>IF($N74="","",MCAin!$V90*$N74)</f>
        <v/>
      </c>
      <c r="AU74" s="345" t="str">
        <f>IF($O74="","",MCAin!$V90*$O74)</f>
        <v/>
      </c>
      <c r="AV74" s="345" t="str">
        <f>IF($P74="","",MCAin!$V90*$P74)</f>
        <v/>
      </c>
      <c r="AW74" s="345" t="str">
        <f>IF($Q74="","",MCAin!$V90*$Q74)</f>
        <v/>
      </c>
      <c r="AX74" s="345" t="str">
        <f>IF($R74="","",MCAin!$V90*$R74)</f>
        <v/>
      </c>
      <c r="AY74" s="347" t="str">
        <f>IF($S74="","",MCAin!$V90*$S74)</f>
        <v/>
      </c>
      <c r="AZ74" s="463" t="str">
        <f>IF($N74="","",MCAin!$W90*$N74)</f>
        <v/>
      </c>
      <c r="BA74" s="345" t="str">
        <f>IF($O74="","",MCAin!$W90*$O74)</f>
        <v/>
      </c>
      <c r="BB74" s="345" t="str">
        <f>IF($P74="","",MCAin!$W90*$P74)</f>
        <v/>
      </c>
      <c r="BC74" s="345" t="str">
        <f>IF($Q74="","",MCAin!$W90*$Q74)</f>
        <v/>
      </c>
      <c r="BD74" s="345" t="str">
        <f>IF($R74="","",MCAin!$W90*$R74)</f>
        <v/>
      </c>
      <c r="BE74" s="347" t="str">
        <f>IF($S74="","",MCAin!$W90*$S74)</f>
        <v/>
      </c>
      <c r="BF74" s="463" t="str">
        <f>IF($N74="","",MCAin!$X90*$N74)</f>
        <v/>
      </c>
      <c r="BG74" s="345" t="str">
        <f>IF($O74="","",MCAin!$X90*$O74)</f>
        <v/>
      </c>
      <c r="BH74" s="345" t="str">
        <f>IF($P74="","",MCAin!$X90*$P74)</f>
        <v/>
      </c>
      <c r="BI74" s="345" t="str">
        <f>IF($Q74="","",MCAin!$X90*$Q74)</f>
        <v/>
      </c>
      <c r="BJ74" s="345" t="str">
        <f>IF($R74="","",MCAin!$X90*$R74)</f>
        <v/>
      </c>
      <c r="BK74" s="347" t="str">
        <f>IF($S74="","",MCAin!$X90*$S74)</f>
        <v/>
      </c>
      <c r="BL74" s="463" t="str">
        <f>IF($N74="","",MCAin!$Y90*$N74)</f>
        <v/>
      </c>
      <c r="BM74" s="345" t="str">
        <f>IF($O74="","",MCAin!$Y90*$O74)</f>
        <v/>
      </c>
      <c r="BN74" s="345" t="str">
        <f>IF($P74="","",MCAin!$Y90*$P74)</f>
        <v/>
      </c>
      <c r="BO74" s="345" t="str">
        <f>IF($Q74="","",MCAin!$Y90*$Q74)</f>
        <v/>
      </c>
      <c r="BP74" s="345" t="str">
        <f>IF($R74="","",MCAin!$Y90*$R74)</f>
        <v/>
      </c>
      <c r="BQ74" s="347" t="str">
        <f>IF($S74="","",MCAin!$Y90*$S74)</f>
        <v/>
      </c>
      <c r="BR74" s="315"/>
      <c r="BS74" s="315"/>
      <c r="BT74" s="315"/>
      <c r="BU74" s="315"/>
      <c r="BV74" s="315"/>
      <c r="BW74" s="315"/>
      <c r="BX74" s="315"/>
      <c r="BY74" s="315"/>
      <c r="BZ74" s="315"/>
    </row>
    <row r="75" spans="1:78" ht="15" customHeight="1">
      <c r="A75" s="314"/>
      <c r="B75" s="110" t="str">
        <f>PTAout!D111</f>
        <v>Duration</v>
      </c>
      <c r="C75" s="316"/>
      <c r="D75" s="318" t="str">
        <f>PTAout!H111</f>
        <v/>
      </c>
      <c r="E75" s="318" t="str">
        <f>PTAout!L111</f>
        <v/>
      </c>
      <c r="F75" s="318" t="str">
        <f>PTAout!Q111</f>
        <v/>
      </c>
      <c r="G75" s="318" t="str">
        <f>PTAout!V111</f>
        <v/>
      </c>
      <c r="H75" s="318" t="str">
        <f>PTAout!AA111</f>
        <v/>
      </c>
      <c r="I75" s="318" t="str">
        <f>PTAout!AF111</f>
        <v/>
      </c>
      <c r="J75" s="487" t="str">
        <f>IF(MCAin!O91="","",MCAin!O91)</f>
        <v/>
      </c>
      <c r="K75" s="487" t="str">
        <f>IF(MCAin!P91="","",MCAin!P91)</f>
        <v/>
      </c>
      <c r="L75" s="314"/>
      <c r="M75" s="534" t="str">
        <f>IF(AND(COUNTIF(D75:I75,"&gt;=0")=$D$1,J75&gt;=0,K75&gt;=0,MCAin!$Q91=""),1,"")</f>
        <v/>
      </c>
      <c r="N75" s="343" t="str">
        <f t="shared" si="9"/>
        <v/>
      </c>
      <c r="O75" s="343" t="str">
        <f t="shared" si="9"/>
        <v/>
      </c>
      <c r="P75" s="343" t="str">
        <f t="shared" si="9"/>
        <v/>
      </c>
      <c r="Q75" s="343" t="str">
        <f t="shared" si="9"/>
        <v/>
      </c>
      <c r="R75" s="343" t="str">
        <f t="shared" si="9"/>
        <v/>
      </c>
      <c r="S75" s="343" t="str">
        <f t="shared" si="9"/>
        <v/>
      </c>
      <c r="T75" s="343"/>
      <c r="U75" s="344"/>
      <c r="V75" s="463" t="str">
        <f>IF($N75="","",MCAin!$R91*$N75)</f>
        <v/>
      </c>
      <c r="W75" s="345" t="str">
        <f>IF($O75="","",MCAin!$R91*$O75)</f>
        <v/>
      </c>
      <c r="X75" s="345" t="str">
        <f>IF($P75="","",MCAin!$R91*$P75)</f>
        <v/>
      </c>
      <c r="Y75" s="345" t="str">
        <f>IF($Q75="","",MCAin!$R91*$Q75)</f>
        <v/>
      </c>
      <c r="Z75" s="345" t="str">
        <f>IF($R75="","",MCAin!$R91*$R75)</f>
        <v/>
      </c>
      <c r="AA75" s="347" t="str">
        <f>IF($S75="","",MCAin!$R91*$S75)</f>
        <v/>
      </c>
      <c r="AB75" s="463" t="str">
        <f>IF($N75="","",MCAin!$S91*$N75)</f>
        <v/>
      </c>
      <c r="AC75" s="345" t="str">
        <f>IF($O75="","",MCAin!$S91*$O75)</f>
        <v/>
      </c>
      <c r="AD75" s="345" t="str">
        <f>IF($P75="","",MCAin!$S91*$P75)</f>
        <v/>
      </c>
      <c r="AE75" s="345" t="str">
        <f>IF($Q75="","",MCAin!$R91*$Q75)</f>
        <v/>
      </c>
      <c r="AF75" s="345" t="str">
        <f>IF($R75="","",MCAin!$R91*$R75)</f>
        <v/>
      </c>
      <c r="AG75" s="347" t="str">
        <f>IF($S75="","",MCAin!$S91*$S75)</f>
        <v/>
      </c>
      <c r="AH75" s="463" t="str">
        <f>IF($N75="","",MCAin!$T91*$N75)</f>
        <v/>
      </c>
      <c r="AI75" s="345" t="str">
        <f>IF($O75="","",MCAin!$T91*$O75)</f>
        <v/>
      </c>
      <c r="AJ75" s="345" t="str">
        <f>IF($P75="","",MCAin!$T91*$P75)</f>
        <v/>
      </c>
      <c r="AK75" s="345" t="str">
        <f>IF($Q75="","",MCAin!$T91*$Q75)</f>
        <v/>
      </c>
      <c r="AL75" s="345" t="str">
        <f>IF($R75="","",MCAin!$R91*$R75)</f>
        <v/>
      </c>
      <c r="AM75" s="347" t="str">
        <f>IF($S75="","",MCAin!$S91*$S75)</f>
        <v/>
      </c>
      <c r="AN75" s="463" t="str">
        <f>IF($N75="","",MCAin!$U91*$N75)</f>
        <v/>
      </c>
      <c r="AO75" s="345" t="str">
        <f>IF($O75="","",MCAin!$U91*$O75)</f>
        <v/>
      </c>
      <c r="AP75" s="345" t="str">
        <f>IF($P75="","",MCAin!$U91*$P75)</f>
        <v/>
      </c>
      <c r="AQ75" s="345" t="str">
        <f>IF($Q75="","",MCAin!$U91*$Q75)</f>
        <v/>
      </c>
      <c r="AR75" s="345" t="str">
        <f>IF($R75="","",MCAin!$U91*$R75)</f>
        <v/>
      </c>
      <c r="AS75" s="347" t="str">
        <f>IF($S75="","",MCAin!$U91*$S75)</f>
        <v/>
      </c>
      <c r="AT75" s="463" t="str">
        <f>IF($N75="","",MCAin!$V91*$N75)</f>
        <v/>
      </c>
      <c r="AU75" s="345" t="str">
        <f>IF($O75="","",MCAin!$V91*$O75)</f>
        <v/>
      </c>
      <c r="AV75" s="345" t="str">
        <f>IF($P75="","",MCAin!$V91*$P75)</f>
        <v/>
      </c>
      <c r="AW75" s="345" t="str">
        <f>IF($Q75="","",MCAin!$V91*$Q75)</f>
        <v/>
      </c>
      <c r="AX75" s="345" t="str">
        <f>IF($R75="","",MCAin!$V91*$R75)</f>
        <v/>
      </c>
      <c r="AY75" s="347" t="str">
        <f>IF($S75="","",MCAin!$V91*$S75)</f>
        <v/>
      </c>
      <c r="AZ75" s="463" t="str">
        <f>IF($N75="","",MCAin!$W91*$N75)</f>
        <v/>
      </c>
      <c r="BA75" s="345" t="str">
        <f>IF($O75="","",MCAin!$W91*$O75)</f>
        <v/>
      </c>
      <c r="BB75" s="345" t="str">
        <f>IF($P75="","",MCAin!$W91*$P75)</f>
        <v/>
      </c>
      <c r="BC75" s="345" t="str">
        <f>IF($Q75="","",MCAin!$W91*$Q75)</f>
        <v/>
      </c>
      <c r="BD75" s="345" t="str">
        <f>IF($R75="","",MCAin!$W91*$R75)</f>
        <v/>
      </c>
      <c r="BE75" s="347" t="str">
        <f>IF($S75="","",MCAin!$W91*$S75)</f>
        <v/>
      </c>
      <c r="BF75" s="463" t="str">
        <f>IF($N75="","",MCAin!$X91*$N75)</f>
        <v/>
      </c>
      <c r="BG75" s="345" t="str">
        <f>IF($O75="","",MCAin!$X91*$O75)</f>
        <v/>
      </c>
      <c r="BH75" s="345" t="str">
        <f>IF($P75="","",MCAin!$X91*$P75)</f>
        <v/>
      </c>
      <c r="BI75" s="345" t="str">
        <f>IF($Q75="","",MCAin!$X91*$Q75)</f>
        <v/>
      </c>
      <c r="BJ75" s="345" t="str">
        <f>IF($R75="","",MCAin!$X91*$R75)</f>
        <v/>
      </c>
      <c r="BK75" s="347" t="str">
        <f>IF($S75="","",MCAin!$X91*$S75)</f>
        <v/>
      </c>
      <c r="BL75" s="463" t="str">
        <f>IF($N75="","",MCAin!$Y91*$N75)</f>
        <v/>
      </c>
      <c r="BM75" s="345" t="str">
        <f>IF($O75="","",MCAin!$Y91*$O75)</f>
        <v/>
      </c>
      <c r="BN75" s="345" t="str">
        <f>IF($P75="","",MCAin!$Y91*$P75)</f>
        <v/>
      </c>
      <c r="BO75" s="345" t="str">
        <f>IF($Q75="","",MCAin!$Y91*$Q75)</f>
        <v/>
      </c>
      <c r="BP75" s="345" t="str">
        <f>IF($R75="","",MCAin!$Y91*$R75)</f>
        <v/>
      </c>
      <c r="BQ75" s="347" t="str">
        <f>IF($S75="","",MCAin!$Y91*$S75)</f>
        <v/>
      </c>
      <c r="BR75" s="315"/>
      <c r="BS75" s="315"/>
      <c r="BT75" s="315"/>
      <c r="BU75" s="315"/>
      <c r="BV75" s="315"/>
      <c r="BW75" s="315"/>
      <c r="BX75" s="315"/>
      <c r="BY75" s="315"/>
      <c r="BZ75" s="315"/>
    </row>
    <row r="76" spans="1:78" ht="15" customHeight="1">
      <c r="A76" s="320"/>
      <c r="B76" s="118" t="str">
        <f>PTAout!D112</f>
        <v>Quality</v>
      </c>
      <c r="C76" s="321"/>
      <c r="D76" s="328" t="str">
        <f>PTAout!H112</f>
        <v/>
      </c>
      <c r="E76" s="328" t="str">
        <f>PTAout!L112</f>
        <v/>
      </c>
      <c r="F76" s="328" t="str">
        <f>PTAout!Q112</f>
        <v/>
      </c>
      <c r="G76" s="328" t="str">
        <f>PTAout!V112</f>
        <v/>
      </c>
      <c r="H76" s="328" t="str">
        <f>PTAout!AA112</f>
        <v/>
      </c>
      <c r="I76" s="328" t="str">
        <f>PTAout!AF112</f>
        <v/>
      </c>
      <c r="J76" s="489">
        <f>IF(MCAin!O92="","",MCAin!O92)</f>
        <v>1</v>
      </c>
      <c r="K76" s="489">
        <f>IF(MCAin!P92="","",MCAin!P92)</f>
        <v>0</v>
      </c>
      <c r="L76" s="314"/>
      <c r="M76" s="534" t="str">
        <f>IF(AND(COUNTIF(D76:I76,"&gt;=0")=$D$1,J76&gt;=0,K76&gt;=0,MCAin!$Q92=""),1,"")</f>
        <v/>
      </c>
      <c r="N76" s="492" t="str">
        <f t="shared" si="9"/>
        <v/>
      </c>
      <c r="O76" s="492" t="str">
        <f t="shared" si="9"/>
        <v/>
      </c>
      <c r="P76" s="492" t="str">
        <f t="shared" si="9"/>
        <v/>
      </c>
      <c r="Q76" s="492" t="str">
        <f t="shared" si="9"/>
        <v/>
      </c>
      <c r="R76" s="492" t="str">
        <f t="shared" si="9"/>
        <v/>
      </c>
      <c r="S76" s="492" t="str">
        <f t="shared" si="9"/>
        <v/>
      </c>
      <c r="T76" s="343"/>
      <c r="U76" s="344"/>
      <c r="V76" s="495" t="str">
        <f>IF($N76="","",MCAin!$R92*$N76)</f>
        <v/>
      </c>
      <c r="W76" s="496" t="str">
        <f>IF($O76="","",MCAin!$R92*$O76)</f>
        <v/>
      </c>
      <c r="X76" s="496" t="str">
        <f>IF($P76="","",MCAin!$R92*$P76)</f>
        <v/>
      </c>
      <c r="Y76" s="496" t="str">
        <f>IF($Q76="","",MCAin!$R92*$Q76)</f>
        <v/>
      </c>
      <c r="Z76" s="496" t="str">
        <f>IF($R76="","",MCAin!$R92*$R76)</f>
        <v/>
      </c>
      <c r="AA76" s="497" t="str">
        <f>IF($S76="","",MCAin!$R92*$S76)</f>
        <v/>
      </c>
      <c r="AB76" s="495" t="str">
        <f>IF($N76="","",MCAin!$S92*$N76)</f>
        <v/>
      </c>
      <c r="AC76" s="496" t="str">
        <f>IF($O76="","",MCAin!$S92*$O76)</f>
        <v/>
      </c>
      <c r="AD76" s="496" t="str">
        <f>IF($P76="","",MCAin!$S92*$P76)</f>
        <v/>
      </c>
      <c r="AE76" s="496" t="str">
        <f>IF($Q76="","",MCAin!$R92*$Q76)</f>
        <v/>
      </c>
      <c r="AF76" s="496" t="str">
        <f>IF($R76="","",MCAin!$R92*$R76)</f>
        <v/>
      </c>
      <c r="AG76" s="497" t="str">
        <f>IF($S76="","",MCAin!$S92*$S76)</f>
        <v/>
      </c>
      <c r="AH76" s="495" t="str">
        <f>IF($N76="","",MCAin!$T92*$N76)</f>
        <v/>
      </c>
      <c r="AI76" s="496" t="str">
        <f>IF($O76="","",MCAin!$T92*$O76)</f>
        <v/>
      </c>
      <c r="AJ76" s="496" t="str">
        <f>IF($P76="","",MCAin!$T92*$P76)</f>
        <v/>
      </c>
      <c r="AK76" s="496" t="str">
        <f>IF($Q76="","",MCAin!$T92*$Q76)</f>
        <v/>
      </c>
      <c r="AL76" s="496" t="str">
        <f>IF($R76="","",MCAin!$R92*$R76)</f>
        <v/>
      </c>
      <c r="AM76" s="497" t="str">
        <f>IF($S76="","",MCAin!$S92*$S76)</f>
        <v/>
      </c>
      <c r="AN76" s="495" t="str">
        <f>IF($N76="","",MCAin!$U92*$N76)</f>
        <v/>
      </c>
      <c r="AO76" s="496" t="str">
        <f>IF($O76="","",MCAin!$U92*$O76)</f>
        <v/>
      </c>
      <c r="AP76" s="496" t="str">
        <f>IF($P76="","",MCAin!$U92*$P76)</f>
        <v/>
      </c>
      <c r="AQ76" s="496" t="str">
        <f>IF($Q76="","",MCAin!$U92*$Q76)</f>
        <v/>
      </c>
      <c r="AR76" s="496" t="str">
        <f>IF($R76="","",MCAin!$U92*$R76)</f>
        <v/>
      </c>
      <c r="AS76" s="497" t="str">
        <f>IF($S76="","",MCAin!$U92*$S76)</f>
        <v/>
      </c>
      <c r="AT76" s="495" t="str">
        <f>IF($N76="","",MCAin!$V92*$N76)</f>
        <v/>
      </c>
      <c r="AU76" s="496" t="str">
        <f>IF($O76="","",MCAin!$V92*$O76)</f>
        <v/>
      </c>
      <c r="AV76" s="496" t="str">
        <f>IF($P76="","",MCAin!$V92*$P76)</f>
        <v/>
      </c>
      <c r="AW76" s="496" t="str">
        <f>IF($Q76="","",MCAin!$V92*$Q76)</f>
        <v/>
      </c>
      <c r="AX76" s="496" t="str">
        <f>IF($R76="","",MCAin!$V92*$R76)</f>
        <v/>
      </c>
      <c r="AY76" s="497" t="str">
        <f>IF($S76="","",MCAin!$V92*$S76)</f>
        <v/>
      </c>
      <c r="AZ76" s="495" t="str">
        <f>IF($N76="","",MCAin!$W92*$N76)</f>
        <v/>
      </c>
      <c r="BA76" s="496" t="str">
        <f>IF($O76="","",MCAin!$W92*$O76)</f>
        <v/>
      </c>
      <c r="BB76" s="496" t="str">
        <f>IF($P76="","",MCAin!$W92*$P76)</f>
        <v/>
      </c>
      <c r="BC76" s="496" t="str">
        <f>IF($Q76="","",MCAin!$W92*$Q76)</f>
        <v/>
      </c>
      <c r="BD76" s="496" t="str">
        <f>IF($R76="","",MCAin!$W92*$R76)</f>
        <v/>
      </c>
      <c r="BE76" s="497" t="str">
        <f>IF($S76="","",MCAin!$W92*$S76)</f>
        <v/>
      </c>
      <c r="BF76" s="495" t="str">
        <f>IF($N76="","",MCAin!$X92*$N76)</f>
        <v/>
      </c>
      <c r="BG76" s="496" t="str">
        <f>IF($O76="","",MCAin!$X92*$O76)</f>
        <v/>
      </c>
      <c r="BH76" s="496" t="str">
        <f>IF($P76="","",MCAin!$X92*$P76)</f>
        <v/>
      </c>
      <c r="BI76" s="496" t="str">
        <f>IF($Q76="","",MCAin!$X92*$Q76)</f>
        <v/>
      </c>
      <c r="BJ76" s="496" t="str">
        <f>IF($R76="","",MCAin!$X92*$R76)</f>
        <v/>
      </c>
      <c r="BK76" s="497" t="str">
        <f>IF($S76="","",MCAin!$X92*$S76)</f>
        <v/>
      </c>
      <c r="BL76" s="495" t="str">
        <f>IF($N76="","",MCAin!$Y92*$N76)</f>
        <v/>
      </c>
      <c r="BM76" s="496" t="str">
        <f>IF($O76="","",MCAin!$Y92*$O76)</f>
        <v/>
      </c>
      <c r="BN76" s="496" t="str">
        <f>IF($P76="","",MCAin!$Y92*$P76)</f>
        <v/>
      </c>
      <c r="BO76" s="496" t="str">
        <f>IF($Q76="","",MCAin!$Y92*$Q76)</f>
        <v/>
      </c>
      <c r="BP76" s="496" t="str">
        <f>IF($R76="","",MCAin!$Y92*$R76)</f>
        <v/>
      </c>
      <c r="BQ76" s="497" t="str">
        <f>IF($S76="","",MCAin!$Y92*$S76)</f>
        <v/>
      </c>
      <c r="BR76" s="315"/>
      <c r="BS76" s="315"/>
      <c r="BT76" s="315"/>
      <c r="BU76" s="315"/>
      <c r="BV76" s="315"/>
      <c r="BW76" s="315"/>
      <c r="BX76" s="315"/>
      <c r="BY76" s="315"/>
      <c r="BZ76" s="315"/>
    </row>
    <row r="77" spans="1:78" ht="15" customHeight="1">
      <c r="A77" s="510" t="str">
        <f>PTAout!C113</f>
        <v>Cycle parking (dockless)</v>
      </c>
      <c r="B77" s="511"/>
      <c r="C77" s="500"/>
      <c r="D77" s="514"/>
      <c r="E77" s="514"/>
      <c r="F77" s="514"/>
      <c r="G77" s="514"/>
      <c r="H77" s="514"/>
      <c r="I77" s="514"/>
      <c r="J77" s="502"/>
      <c r="K77" s="502"/>
      <c r="L77" s="503"/>
      <c r="M77" s="504"/>
      <c r="N77" s="504"/>
      <c r="O77" s="504"/>
      <c r="P77" s="504"/>
      <c r="Q77" s="504"/>
      <c r="R77" s="504"/>
      <c r="S77" s="504"/>
      <c r="T77" s="504"/>
      <c r="U77" s="504"/>
      <c r="V77" s="507"/>
      <c r="W77" s="508"/>
      <c r="X77" s="508"/>
      <c r="Y77" s="508"/>
      <c r="Z77" s="508"/>
      <c r="AA77" s="509"/>
      <c r="AB77" s="507"/>
      <c r="AC77" s="508"/>
      <c r="AD77" s="508"/>
      <c r="AE77" s="508"/>
      <c r="AF77" s="508"/>
      <c r="AG77" s="509"/>
      <c r="AH77" s="507"/>
      <c r="AI77" s="508"/>
      <c r="AJ77" s="508"/>
      <c r="AK77" s="508"/>
      <c r="AL77" s="508"/>
      <c r="AM77" s="509"/>
      <c r="AN77" s="507"/>
      <c r="AO77" s="508"/>
      <c r="AP77" s="508"/>
      <c r="AQ77" s="508"/>
      <c r="AR77" s="508"/>
      <c r="AS77" s="509"/>
      <c r="AT77" s="507"/>
      <c r="AU77" s="508"/>
      <c r="AV77" s="508"/>
      <c r="AW77" s="508"/>
      <c r="AX77" s="508"/>
      <c r="AY77" s="509"/>
      <c r="AZ77" s="507"/>
      <c r="BA77" s="508"/>
      <c r="BB77" s="508"/>
      <c r="BC77" s="508"/>
      <c r="BD77" s="508"/>
      <c r="BE77" s="509"/>
      <c r="BF77" s="507"/>
      <c r="BG77" s="508"/>
      <c r="BH77" s="508"/>
      <c r="BI77" s="508"/>
      <c r="BJ77" s="508"/>
      <c r="BK77" s="509"/>
      <c r="BL77" s="507"/>
      <c r="BM77" s="508"/>
      <c r="BN77" s="508"/>
      <c r="BO77" s="508"/>
      <c r="BP77" s="508"/>
      <c r="BQ77" s="509"/>
      <c r="BR77" s="315"/>
      <c r="BS77" s="315"/>
      <c r="BT77" s="315"/>
      <c r="BU77" s="315"/>
      <c r="BV77" s="315"/>
      <c r="BW77" s="315"/>
      <c r="BX77" s="315"/>
      <c r="BY77" s="315"/>
      <c r="BZ77" s="315"/>
    </row>
    <row r="78" spans="1:78" ht="15" customHeight="1">
      <c r="A78" s="314"/>
      <c r="B78" s="110" t="str">
        <f>PTAout!D114</f>
        <v>Space</v>
      </c>
      <c r="C78" s="316"/>
      <c r="D78" s="318" t="str">
        <f>PTAout!H114</f>
        <v/>
      </c>
      <c r="E78" s="318" t="str">
        <f>PTAout!L114</f>
        <v/>
      </c>
      <c r="F78" s="318" t="str">
        <f>PTAout!Q114</f>
        <v/>
      </c>
      <c r="G78" s="318" t="str">
        <f>PTAout!V114</f>
        <v/>
      </c>
      <c r="H78" s="318" t="str">
        <f>PTAout!AA114</f>
        <v/>
      </c>
      <c r="I78" s="318" t="str">
        <f>PTAout!AF114</f>
        <v/>
      </c>
      <c r="J78" s="484">
        <f>IF(MCAin!O94="","",MCAin!O94)</f>
        <v>0</v>
      </c>
      <c r="K78" s="484">
        <f>IF(MCAin!P94="","",MCAin!P94)</f>
        <v>10</v>
      </c>
      <c r="L78" s="314"/>
      <c r="M78" s="534" t="str">
        <f>IF(AND(COUNTIF(D78:I78,"&gt;=0")=$D$1,J78&gt;=0,K78&gt;=0,MCAin!$Q94=""),1,"")</f>
        <v/>
      </c>
      <c r="N78" s="343" t="str">
        <f t="shared" ref="N78:S81" si="10">IF(OR($M78&lt;&gt;1,D78=""),"",(D78-$J78)/($K78-$J78))</f>
        <v/>
      </c>
      <c r="O78" s="343" t="str">
        <f t="shared" si="10"/>
        <v/>
      </c>
      <c r="P78" s="343" t="str">
        <f t="shared" si="10"/>
        <v/>
      </c>
      <c r="Q78" s="343" t="str">
        <f t="shared" si="10"/>
        <v/>
      </c>
      <c r="R78" s="343" t="str">
        <f t="shared" si="10"/>
        <v/>
      </c>
      <c r="S78" s="343" t="str">
        <f t="shared" si="10"/>
        <v/>
      </c>
      <c r="T78" s="343"/>
      <c r="U78" s="344"/>
      <c r="V78" s="463" t="str">
        <f>IF($N78="","",MCAin!$R94*$N78)</f>
        <v/>
      </c>
      <c r="W78" s="345" t="str">
        <f>IF($O78="","",MCAin!$R94*$O78)</f>
        <v/>
      </c>
      <c r="X78" s="345" t="str">
        <f>IF($P78="","",MCAin!$R94*$P78)</f>
        <v/>
      </c>
      <c r="Y78" s="345" t="str">
        <f>IF($Q78="","",MCAin!$R94*$Q78)</f>
        <v/>
      </c>
      <c r="Z78" s="345" t="str">
        <f>IF($R78="","",MCAin!$R94*$R78)</f>
        <v/>
      </c>
      <c r="AA78" s="347" t="str">
        <f>IF($S78="","",MCAin!$R94*$S78)</f>
        <v/>
      </c>
      <c r="AB78" s="463" t="str">
        <f>IF($N78="","",MCAin!$S94*$N78)</f>
        <v/>
      </c>
      <c r="AC78" s="345" t="str">
        <f>IF($O78="","",MCAin!$S94*$O78)</f>
        <v/>
      </c>
      <c r="AD78" s="345" t="str">
        <f>IF($P78="","",MCAin!$S94*$P78)</f>
        <v/>
      </c>
      <c r="AE78" s="345" t="str">
        <f>IF($Q78="","",MCAin!$R94*$Q78)</f>
        <v/>
      </c>
      <c r="AF78" s="345" t="str">
        <f>IF($R78="","",MCAin!$R94*$R78)</f>
        <v/>
      </c>
      <c r="AG78" s="347" t="str">
        <f>IF($S78="","",MCAin!$S94*$S78)</f>
        <v/>
      </c>
      <c r="AH78" s="463" t="str">
        <f>IF($N78="","",MCAin!$T94*$N78)</f>
        <v/>
      </c>
      <c r="AI78" s="345" t="str">
        <f>IF($O78="","",MCAin!$T94*$O78)</f>
        <v/>
      </c>
      <c r="AJ78" s="345" t="str">
        <f>IF($P78="","",MCAin!$T94*$P78)</f>
        <v/>
      </c>
      <c r="AK78" s="345" t="str">
        <f>IF($Q78="","",MCAin!$T94*$Q78)</f>
        <v/>
      </c>
      <c r="AL78" s="345" t="str">
        <f>IF($R78="","",MCAin!$R94*$R78)</f>
        <v/>
      </c>
      <c r="AM78" s="347" t="str">
        <f>IF($S78="","",MCAin!$S94*$S78)</f>
        <v/>
      </c>
      <c r="AN78" s="463" t="str">
        <f>IF($N78="","",MCAin!$U94*$N78)</f>
        <v/>
      </c>
      <c r="AO78" s="345" t="str">
        <f>IF($O78="","",MCAin!$U94*$O78)</f>
        <v/>
      </c>
      <c r="AP78" s="345" t="str">
        <f>IF($P78="","",MCAin!$U94*$P78)</f>
        <v/>
      </c>
      <c r="AQ78" s="345" t="str">
        <f>IF($Q78="","",MCAin!$U94*$Q78)</f>
        <v/>
      </c>
      <c r="AR78" s="345" t="str">
        <f>IF($R78="","",MCAin!$U94*$R78)</f>
        <v/>
      </c>
      <c r="AS78" s="347" t="str">
        <f>IF($S78="","",MCAin!$U94*$S78)</f>
        <v/>
      </c>
      <c r="AT78" s="463" t="str">
        <f>IF($N78="","",MCAin!$V94*$N78)</f>
        <v/>
      </c>
      <c r="AU78" s="345" t="str">
        <f>IF($O78="","",MCAin!$V94*$O78)</f>
        <v/>
      </c>
      <c r="AV78" s="345" t="str">
        <f>IF($P78="","",MCAin!$V94*$P78)</f>
        <v/>
      </c>
      <c r="AW78" s="345" t="str">
        <f>IF($Q78="","",MCAin!$V94*$Q78)</f>
        <v/>
      </c>
      <c r="AX78" s="345" t="str">
        <f>IF($R78="","",MCAin!$V94*$R78)</f>
        <v/>
      </c>
      <c r="AY78" s="347" t="str">
        <f>IF($S78="","",MCAin!$V94*$S78)</f>
        <v/>
      </c>
      <c r="AZ78" s="463" t="str">
        <f>IF($N78="","",MCAin!$W94*$N78)</f>
        <v/>
      </c>
      <c r="BA78" s="345" t="str">
        <f>IF($O78="","",MCAin!$W94*$O78)</f>
        <v/>
      </c>
      <c r="BB78" s="345" t="str">
        <f>IF($P78="","",MCAin!$W94*$P78)</f>
        <v/>
      </c>
      <c r="BC78" s="345" t="str">
        <f>IF($Q78="","",MCAin!$W94*$Q78)</f>
        <v/>
      </c>
      <c r="BD78" s="345" t="str">
        <f>IF($R78="","",MCAin!$W94*$R78)</f>
        <v/>
      </c>
      <c r="BE78" s="347" t="str">
        <f>IF($S78="","",MCAin!$W94*$S78)</f>
        <v/>
      </c>
      <c r="BF78" s="463" t="str">
        <f>IF($N78="","",MCAin!$X94*$N78)</f>
        <v/>
      </c>
      <c r="BG78" s="345" t="str">
        <f>IF($O78="","",MCAin!$X94*$O78)</f>
        <v/>
      </c>
      <c r="BH78" s="345" t="str">
        <f>IF($P78="","",MCAin!$X94*$P78)</f>
        <v/>
      </c>
      <c r="BI78" s="345" t="str">
        <f>IF($Q78="","",MCAin!$X94*$Q78)</f>
        <v/>
      </c>
      <c r="BJ78" s="345" t="str">
        <f>IF($R78="","",MCAin!$X94*$R78)</f>
        <v/>
      </c>
      <c r="BK78" s="347" t="str">
        <f>IF($S78="","",MCAin!$X94*$S78)</f>
        <v/>
      </c>
      <c r="BL78" s="463" t="str">
        <f>IF($N78="","",MCAin!$Y94*$N78)</f>
        <v/>
      </c>
      <c r="BM78" s="345" t="str">
        <f>IF($O78="","",MCAin!$Y94*$O78)</f>
        <v/>
      </c>
      <c r="BN78" s="345" t="str">
        <f>IF($P78="","",MCAin!$Y94*$P78)</f>
        <v/>
      </c>
      <c r="BO78" s="345" t="str">
        <f>IF($Q78="","",MCAin!$Y94*$Q78)</f>
        <v/>
      </c>
      <c r="BP78" s="345" t="str">
        <f>IF($R78="","",MCAin!$Y94*$R78)</f>
        <v/>
      </c>
      <c r="BQ78" s="347" t="str">
        <f>IF($S78="","",MCAin!$Y94*$S78)</f>
        <v/>
      </c>
      <c r="BR78" s="315"/>
      <c r="BS78" s="315"/>
      <c r="BT78" s="315"/>
      <c r="BU78" s="315"/>
      <c r="BV78" s="315"/>
      <c r="BW78" s="315"/>
      <c r="BX78" s="315"/>
      <c r="BY78" s="315"/>
      <c r="BZ78" s="315"/>
    </row>
    <row r="79" spans="1:78" ht="15" customHeight="1">
      <c r="A79" s="314"/>
      <c r="B79" s="110" t="str">
        <f>PTAout!D115</f>
        <v>Number of activities</v>
      </c>
      <c r="C79" s="316"/>
      <c r="D79" s="327" t="str">
        <f>PTAout!H115</f>
        <v/>
      </c>
      <c r="E79" s="327" t="str">
        <f>PTAout!L115</f>
        <v/>
      </c>
      <c r="F79" s="327" t="str">
        <f>PTAout!Q115</f>
        <v/>
      </c>
      <c r="G79" s="327" t="str">
        <f>PTAout!V115</f>
        <v/>
      </c>
      <c r="H79" s="327" t="str">
        <f>PTAout!AA115</f>
        <v/>
      </c>
      <c r="I79" s="327" t="str">
        <f>PTAout!AF115</f>
        <v/>
      </c>
      <c r="J79" s="487" t="str">
        <f>IF(MCAin!O95="","",MCAin!O95)</f>
        <v/>
      </c>
      <c r="K79" s="487" t="str">
        <f>IF(MCAin!P95="","",MCAin!P95)</f>
        <v/>
      </c>
      <c r="L79" s="314"/>
      <c r="M79" s="534" t="str">
        <f>IF(AND(COUNTIF(D79:I79,"&gt;=0")=$D$1,J79&gt;=0,K79&gt;=0,MCAin!$Q95=""),1,"")</f>
        <v/>
      </c>
      <c r="N79" s="343" t="str">
        <f t="shared" si="10"/>
        <v/>
      </c>
      <c r="O79" s="343" t="str">
        <f t="shared" si="10"/>
        <v/>
      </c>
      <c r="P79" s="343" t="str">
        <f t="shared" si="10"/>
        <v/>
      </c>
      <c r="Q79" s="343" t="str">
        <f t="shared" si="10"/>
        <v/>
      </c>
      <c r="R79" s="343" t="str">
        <f t="shared" si="10"/>
        <v/>
      </c>
      <c r="S79" s="343" t="str">
        <f t="shared" si="10"/>
        <v/>
      </c>
      <c r="T79" s="343"/>
      <c r="U79" s="344"/>
      <c r="V79" s="463" t="str">
        <f>IF($N79="","",MCAin!$R95*$N79)</f>
        <v/>
      </c>
      <c r="W79" s="345" t="str">
        <f>IF($O79="","",MCAin!$R95*$O79)</f>
        <v/>
      </c>
      <c r="X79" s="345" t="str">
        <f>IF($P79="","",MCAin!$R95*$P79)</f>
        <v/>
      </c>
      <c r="Y79" s="345" t="str">
        <f>IF($Q79="","",MCAin!$R95*$Q79)</f>
        <v/>
      </c>
      <c r="Z79" s="345" t="str">
        <f>IF($R79="","",MCAin!$R95*$R79)</f>
        <v/>
      </c>
      <c r="AA79" s="347" t="str">
        <f>IF($S79="","",MCAin!$R95*$S79)</f>
        <v/>
      </c>
      <c r="AB79" s="463" t="str">
        <f>IF($N79="","",MCAin!$S95*$N79)</f>
        <v/>
      </c>
      <c r="AC79" s="345" t="str">
        <f>IF($O79="","",MCAin!$S95*$O79)</f>
        <v/>
      </c>
      <c r="AD79" s="345" t="str">
        <f>IF($P79="","",MCAin!$S95*$P79)</f>
        <v/>
      </c>
      <c r="AE79" s="345" t="str">
        <f>IF($Q79="","",MCAin!$R95*$Q79)</f>
        <v/>
      </c>
      <c r="AF79" s="345" t="str">
        <f>IF($R79="","",MCAin!$R95*$R79)</f>
        <v/>
      </c>
      <c r="AG79" s="347" t="str">
        <f>IF($S79="","",MCAin!$S95*$S79)</f>
        <v/>
      </c>
      <c r="AH79" s="463" t="str">
        <f>IF($N79="","",MCAin!$T95*$N79)</f>
        <v/>
      </c>
      <c r="AI79" s="345" t="str">
        <f>IF($O79="","",MCAin!$T95*$O79)</f>
        <v/>
      </c>
      <c r="AJ79" s="345" t="str">
        <f>IF($P79="","",MCAin!$T95*$P79)</f>
        <v/>
      </c>
      <c r="AK79" s="345" t="str">
        <f>IF($Q79="","",MCAin!$T95*$Q79)</f>
        <v/>
      </c>
      <c r="AL79" s="345" t="str">
        <f>IF($R79="","",MCAin!$R95*$R79)</f>
        <v/>
      </c>
      <c r="AM79" s="347" t="str">
        <f>IF($S79="","",MCAin!$S95*$S79)</f>
        <v/>
      </c>
      <c r="AN79" s="463" t="str">
        <f>IF($N79="","",MCAin!$U95*$N79)</f>
        <v/>
      </c>
      <c r="AO79" s="345" t="str">
        <f>IF($O79="","",MCAin!$U95*$O79)</f>
        <v/>
      </c>
      <c r="AP79" s="345" t="str">
        <f>IF($P79="","",MCAin!$U95*$P79)</f>
        <v/>
      </c>
      <c r="AQ79" s="345" t="str">
        <f>IF($Q79="","",MCAin!$U95*$Q79)</f>
        <v/>
      </c>
      <c r="AR79" s="345" t="str">
        <f>IF($R79="","",MCAin!$U95*$R79)</f>
        <v/>
      </c>
      <c r="AS79" s="347" t="str">
        <f>IF($S79="","",MCAin!$U95*$S79)</f>
        <v/>
      </c>
      <c r="AT79" s="463" t="str">
        <f>IF($N79="","",MCAin!$V95*$N79)</f>
        <v/>
      </c>
      <c r="AU79" s="345" t="str">
        <f>IF($O79="","",MCAin!$V95*$O79)</f>
        <v/>
      </c>
      <c r="AV79" s="345" t="str">
        <f>IF($P79="","",MCAin!$V95*$P79)</f>
        <v/>
      </c>
      <c r="AW79" s="345" t="str">
        <f>IF($Q79="","",MCAin!$V95*$Q79)</f>
        <v/>
      </c>
      <c r="AX79" s="345" t="str">
        <f>IF($R79="","",MCAin!$V95*$R79)</f>
        <v/>
      </c>
      <c r="AY79" s="347" t="str">
        <f>IF($S79="","",MCAin!$V95*$S79)</f>
        <v/>
      </c>
      <c r="AZ79" s="463" t="str">
        <f>IF($N79="","",MCAin!$W95*$N79)</f>
        <v/>
      </c>
      <c r="BA79" s="345" t="str">
        <f>IF($O79="","",MCAin!$W95*$O79)</f>
        <v/>
      </c>
      <c r="BB79" s="345" t="str">
        <f>IF($P79="","",MCAin!$W95*$P79)</f>
        <v/>
      </c>
      <c r="BC79" s="345" t="str">
        <f>IF($Q79="","",MCAin!$W95*$Q79)</f>
        <v/>
      </c>
      <c r="BD79" s="345" t="str">
        <f>IF($R79="","",MCAin!$W95*$R79)</f>
        <v/>
      </c>
      <c r="BE79" s="347" t="str">
        <f>IF($S79="","",MCAin!$W95*$S79)</f>
        <v/>
      </c>
      <c r="BF79" s="463" t="str">
        <f>IF($N79="","",MCAin!$X95*$N79)</f>
        <v/>
      </c>
      <c r="BG79" s="345" t="str">
        <f>IF($O79="","",MCAin!$X95*$O79)</f>
        <v/>
      </c>
      <c r="BH79" s="345" t="str">
        <f>IF($P79="","",MCAin!$X95*$P79)</f>
        <v/>
      </c>
      <c r="BI79" s="345" t="str">
        <f>IF($Q79="","",MCAin!$X95*$Q79)</f>
        <v/>
      </c>
      <c r="BJ79" s="345" t="str">
        <f>IF($R79="","",MCAin!$X95*$R79)</f>
        <v/>
      </c>
      <c r="BK79" s="347" t="str">
        <f>IF($S79="","",MCAin!$X95*$S79)</f>
        <v/>
      </c>
      <c r="BL79" s="463" t="str">
        <f>IF($N79="","",MCAin!$Y95*$N79)</f>
        <v/>
      </c>
      <c r="BM79" s="345" t="str">
        <f>IF($O79="","",MCAin!$Y95*$O79)</f>
        <v/>
      </c>
      <c r="BN79" s="345" t="str">
        <f>IF($P79="","",MCAin!$Y95*$P79)</f>
        <v/>
      </c>
      <c r="BO79" s="345" t="str">
        <f>IF($Q79="","",MCAin!$Y95*$Q79)</f>
        <v/>
      </c>
      <c r="BP79" s="345" t="str">
        <f>IF($R79="","",MCAin!$Y95*$R79)</f>
        <v/>
      </c>
      <c r="BQ79" s="347" t="str">
        <f>IF($S79="","",MCAin!$Y95*$S79)</f>
        <v/>
      </c>
      <c r="BR79" s="315"/>
      <c r="BS79" s="315"/>
      <c r="BT79" s="315"/>
      <c r="BU79" s="315"/>
      <c r="BV79" s="315"/>
      <c r="BW79" s="315"/>
      <c r="BX79" s="315"/>
      <c r="BY79" s="315"/>
      <c r="BZ79" s="315"/>
    </row>
    <row r="80" spans="1:78" ht="15" customHeight="1">
      <c r="A80" s="314"/>
      <c r="B80" s="110" t="str">
        <f>PTAout!D116</f>
        <v>Duration</v>
      </c>
      <c r="C80" s="316"/>
      <c r="D80" s="318" t="str">
        <f>PTAout!H116</f>
        <v/>
      </c>
      <c r="E80" s="318" t="str">
        <f>PTAout!L116</f>
        <v/>
      </c>
      <c r="F80" s="318" t="str">
        <f>PTAout!Q116</f>
        <v/>
      </c>
      <c r="G80" s="318" t="str">
        <f>PTAout!V116</f>
        <v/>
      </c>
      <c r="H80" s="318" t="str">
        <f>PTAout!AA116</f>
        <v/>
      </c>
      <c r="I80" s="318" t="str">
        <f>PTAout!AF116</f>
        <v/>
      </c>
      <c r="J80" s="487" t="str">
        <f>IF(MCAin!O96="","",MCAin!O96)</f>
        <v/>
      </c>
      <c r="K80" s="487" t="str">
        <f>IF(MCAin!P96="","",MCAin!P96)</f>
        <v/>
      </c>
      <c r="L80" s="314"/>
      <c r="M80" s="534" t="str">
        <f>IF(AND(COUNTIF(D80:I80,"&gt;=0")=$D$1,J80&gt;=0,K80&gt;=0,MCAin!$Q96=""),1,"")</f>
        <v/>
      </c>
      <c r="N80" s="343" t="str">
        <f t="shared" si="10"/>
        <v/>
      </c>
      <c r="O80" s="343" t="str">
        <f t="shared" si="10"/>
        <v/>
      </c>
      <c r="P80" s="343" t="str">
        <f t="shared" si="10"/>
        <v/>
      </c>
      <c r="Q80" s="343" t="str">
        <f t="shared" si="10"/>
        <v/>
      </c>
      <c r="R80" s="343" t="str">
        <f t="shared" si="10"/>
        <v/>
      </c>
      <c r="S80" s="343" t="str">
        <f t="shared" si="10"/>
        <v/>
      </c>
      <c r="T80" s="343"/>
      <c r="U80" s="344"/>
      <c r="V80" s="463" t="str">
        <f>IF($N80="","",MCAin!$R96*$N80)</f>
        <v/>
      </c>
      <c r="W80" s="345" t="str">
        <f>IF($O80="","",MCAin!$R96*$O80)</f>
        <v/>
      </c>
      <c r="X80" s="345" t="str">
        <f>IF($P80="","",MCAin!$R96*$P80)</f>
        <v/>
      </c>
      <c r="Y80" s="345" t="str">
        <f>IF($Q80="","",MCAin!$R96*$Q80)</f>
        <v/>
      </c>
      <c r="Z80" s="345" t="str">
        <f>IF($R80="","",MCAin!$R96*$R80)</f>
        <v/>
      </c>
      <c r="AA80" s="347" t="str">
        <f>IF($S80="","",MCAin!$R96*$S80)</f>
        <v/>
      </c>
      <c r="AB80" s="463" t="str">
        <f>IF($N80="","",MCAin!$S96*$N80)</f>
        <v/>
      </c>
      <c r="AC80" s="345" t="str">
        <f>IF($O80="","",MCAin!$S96*$O80)</f>
        <v/>
      </c>
      <c r="AD80" s="345" t="str">
        <f>IF($P80="","",MCAin!$S96*$P80)</f>
        <v/>
      </c>
      <c r="AE80" s="345" t="str">
        <f>IF($Q80="","",MCAin!$R96*$Q80)</f>
        <v/>
      </c>
      <c r="AF80" s="345" t="str">
        <f>IF($R80="","",MCAin!$R96*$R80)</f>
        <v/>
      </c>
      <c r="AG80" s="347" t="str">
        <f>IF($S80="","",MCAin!$S96*$S80)</f>
        <v/>
      </c>
      <c r="AH80" s="463" t="str">
        <f>IF($N80="","",MCAin!$T96*$N80)</f>
        <v/>
      </c>
      <c r="AI80" s="345" t="str">
        <f>IF($O80="","",MCAin!$T96*$O80)</f>
        <v/>
      </c>
      <c r="AJ80" s="345" t="str">
        <f>IF($P80="","",MCAin!$T96*$P80)</f>
        <v/>
      </c>
      <c r="AK80" s="345" t="str">
        <f>IF($Q80="","",MCAin!$T96*$Q80)</f>
        <v/>
      </c>
      <c r="AL80" s="345" t="str">
        <f>IF($R80="","",MCAin!$R96*$R80)</f>
        <v/>
      </c>
      <c r="AM80" s="347" t="str">
        <f>IF($S80="","",MCAin!$S96*$S80)</f>
        <v/>
      </c>
      <c r="AN80" s="463" t="str">
        <f>IF($N80="","",MCAin!$U96*$N80)</f>
        <v/>
      </c>
      <c r="AO80" s="345" t="str">
        <f>IF($O80="","",MCAin!$U96*$O80)</f>
        <v/>
      </c>
      <c r="AP80" s="345" t="str">
        <f>IF($P80="","",MCAin!$U96*$P80)</f>
        <v/>
      </c>
      <c r="AQ80" s="345" t="str">
        <f>IF($Q80="","",MCAin!$U96*$Q80)</f>
        <v/>
      </c>
      <c r="AR80" s="345" t="str">
        <f>IF($R80="","",MCAin!$U96*$R80)</f>
        <v/>
      </c>
      <c r="AS80" s="347" t="str">
        <f>IF($S80="","",MCAin!$U96*$S80)</f>
        <v/>
      </c>
      <c r="AT80" s="463" t="str">
        <f>IF($N80="","",MCAin!$V96*$N80)</f>
        <v/>
      </c>
      <c r="AU80" s="345" t="str">
        <f>IF($O80="","",MCAin!$V96*$O80)</f>
        <v/>
      </c>
      <c r="AV80" s="345" t="str">
        <f>IF($P80="","",MCAin!$V96*$P80)</f>
        <v/>
      </c>
      <c r="AW80" s="345" t="str">
        <f>IF($Q80="","",MCAin!$V96*$Q80)</f>
        <v/>
      </c>
      <c r="AX80" s="345" t="str">
        <f>IF($R80="","",MCAin!$V96*$R80)</f>
        <v/>
      </c>
      <c r="AY80" s="347" t="str">
        <f>IF($S80="","",MCAin!$V96*$S80)</f>
        <v/>
      </c>
      <c r="AZ80" s="463" t="str">
        <f>IF($N80="","",MCAin!$W96*$N80)</f>
        <v/>
      </c>
      <c r="BA80" s="345" t="str">
        <f>IF($O80="","",MCAin!$W96*$O80)</f>
        <v/>
      </c>
      <c r="BB80" s="345" t="str">
        <f>IF($P80="","",MCAin!$W96*$P80)</f>
        <v/>
      </c>
      <c r="BC80" s="345" t="str">
        <f>IF($Q80="","",MCAin!$W96*$Q80)</f>
        <v/>
      </c>
      <c r="BD80" s="345" t="str">
        <f>IF($R80="","",MCAin!$W96*$R80)</f>
        <v/>
      </c>
      <c r="BE80" s="347" t="str">
        <f>IF($S80="","",MCAin!$W96*$S80)</f>
        <v/>
      </c>
      <c r="BF80" s="463" t="str">
        <f>IF($N80="","",MCAin!$X96*$N80)</f>
        <v/>
      </c>
      <c r="BG80" s="345" t="str">
        <f>IF($O80="","",MCAin!$X96*$O80)</f>
        <v/>
      </c>
      <c r="BH80" s="345" t="str">
        <f>IF($P80="","",MCAin!$X96*$P80)</f>
        <v/>
      </c>
      <c r="BI80" s="345" t="str">
        <f>IF($Q80="","",MCAin!$X96*$Q80)</f>
        <v/>
      </c>
      <c r="BJ80" s="345" t="str">
        <f>IF($R80="","",MCAin!$X96*$R80)</f>
        <v/>
      </c>
      <c r="BK80" s="347" t="str">
        <f>IF($S80="","",MCAin!$X96*$S80)</f>
        <v/>
      </c>
      <c r="BL80" s="463" t="str">
        <f>IF($N80="","",MCAin!$Y96*$N80)</f>
        <v/>
      </c>
      <c r="BM80" s="345" t="str">
        <f>IF($O80="","",MCAin!$Y96*$O80)</f>
        <v/>
      </c>
      <c r="BN80" s="345" t="str">
        <f>IF($P80="","",MCAin!$Y96*$P80)</f>
        <v/>
      </c>
      <c r="BO80" s="345" t="str">
        <f>IF($Q80="","",MCAin!$Y96*$Q80)</f>
        <v/>
      </c>
      <c r="BP80" s="345" t="str">
        <f>IF($R80="","",MCAin!$Y96*$R80)</f>
        <v/>
      </c>
      <c r="BQ80" s="347" t="str">
        <f>IF($S80="","",MCAin!$Y96*$S80)</f>
        <v/>
      </c>
      <c r="BR80" s="315"/>
      <c r="BS80" s="315"/>
      <c r="BT80" s="315"/>
      <c r="BU80" s="315"/>
      <c r="BV80" s="315"/>
      <c r="BW80" s="315"/>
      <c r="BX80" s="315"/>
      <c r="BY80" s="315"/>
      <c r="BZ80" s="315"/>
    </row>
    <row r="81" spans="1:78" ht="15" customHeight="1">
      <c r="A81" s="320"/>
      <c r="B81" s="118" t="str">
        <f>PTAout!D117</f>
        <v>Quality</v>
      </c>
      <c r="C81" s="321"/>
      <c r="D81" s="328" t="str">
        <f>PTAout!H117</f>
        <v/>
      </c>
      <c r="E81" s="328" t="str">
        <f>PTAout!L117</f>
        <v/>
      </c>
      <c r="F81" s="328" t="str">
        <f>PTAout!Q117</f>
        <v/>
      </c>
      <c r="G81" s="328" t="str">
        <f>PTAout!V117</f>
        <v/>
      </c>
      <c r="H81" s="328" t="str">
        <f>PTAout!AA117</f>
        <v/>
      </c>
      <c r="I81" s="328" t="str">
        <f>PTAout!AF117</f>
        <v/>
      </c>
      <c r="J81" s="489" t="str">
        <f>IF(MCAin!O97="","",MCAin!O97)</f>
        <v/>
      </c>
      <c r="K81" s="489" t="str">
        <f>IF(MCAin!P97="","",MCAin!P97)</f>
        <v/>
      </c>
      <c r="L81" s="314"/>
      <c r="M81" s="534" t="str">
        <f>IF(AND(COUNTIF(D81:I81,"&gt;=0")=$D$1,J81&gt;=0,K81&gt;=0,MCAin!$Q97=""),1,"")</f>
        <v/>
      </c>
      <c r="N81" s="492" t="str">
        <f t="shared" si="10"/>
        <v/>
      </c>
      <c r="O81" s="492" t="str">
        <f t="shared" si="10"/>
        <v/>
      </c>
      <c r="P81" s="492" t="str">
        <f t="shared" si="10"/>
        <v/>
      </c>
      <c r="Q81" s="492" t="str">
        <f t="shared" si="10"/>
        <v/>
      </c>
      <c r="R81" s="492" t="str">
        <f t="shared" si="10"/>
        <v/>
      </c>
      <c r="S81" s="492" t="str">
        <f t="shared" si="10"/>
        <v/>
      </c>
      <c r="T81" s="343"/>
      <c r="U81" s="344"/>
      <c r="V81" s="495" t="str">
        <f>IF($N81="","",MCAin!$R97*$N81)</f>
        <v/>
      </c>
      <c r="W81" s="496" t="str">
        <f>IF($O81="","",MCAin!$R97*$O81)</f>
        <v/>
      </c>
      <c r="X81" s="496" t="str">
        <f>IF($P81="","",MCAin!$R97*$P81)</f>
        <v/>
      </c>
      <c r="Y81" s="496" t="str">
        <f>IF($Q81="","",MCAin!$R97*$Q81)</f>
        <v/>
      </c>
      <c r="Z81" s="496" t="str">
        <f>IF($R81="","",MCAin!$R97*$R81)</f>
        <v/>
      </c>
      <c r="AA81" s="497" t="str">
        <f>IF($S81="","",MCAin!$R97*$S81)</f>
        <v/>
      </c>
      <c r="AB81" s="495" t="str">
        <f>IF($N81="","",MCAin!$S97*$N81)</f>
        <v/>
      </c>
      <c r="AC81" s="496" t="str">
        <f>IF($O81="","",MCAin!$S97*$O81)</f>
        <v/>
      </c>
      <c r="AD81" s="496" t="str">
        <f>IF($P81="","",MCAin!$S97*$P81)</f>
        <v/>
      </c>
      <c r="AE81" s="496" t="str">
        <f>IF($Q81="","",MCAin!$R97*$Q81)</f>
        <v/>
      </c>
      <c r="AF81" s="496" t="str">
        <f>IF($R81="","",MCAin!$R97*$R81)</f>
        <v/>
      </c>
      <c r="AG81" s="497" t="str">
        <f>IF($S81="","",MCAin!$S97*$S81)</f>
        <v/>
      </c>
      <c r="AH81" s="495" t="str">
        <f>IF($N81="","",MCAin!$T97*$N81)</f>
        <v/>
      </c>
      <c r="AI81" s="496" t="str">
        <f>IF($O81="","",MCAin!$T97*$O81)</f>
        <v/>
      </c>
      <c r="AJ81" s="496" t="str">
        <f>IF($P81="","",MCAin!$T97*$P81)</f>
        <v/>
      </c>
      <c r="AK81" s="496" t="str">
        <f>IF($Q81="","",MCAin!$T97*$Q81)</f>
        <v/>
      </c>
      <c r="AL81" s="496" t="str">
        <f>IF($R81="","",MCAin!$R97*$R81)</f>
        <v/>
      </c>
      <c r="AM81" s="497" t="str">
        <f>IF($S81="","",MCAin!$S97*$S81)</f>
        <v/>
      </c>
      <c r="AN81" s="495" t="str">
        <f>IF($N81="","",MCAin!$U97*$N81)</f>
        <v/>
      </c>
      <c r="AO81" s="496" t="str">
        <f>IF($O81="","",MCAin!$U97*$O81)</f>
        <v/>
      </c>
      <c r="AP81" s="496" t="str">
        <f>IF($P81="","",MCAin!$U97*$P81)</f>
        <v/>
      </c>
      <c r="AQ81" s="496" t="str">
        <f>IF($Q81="","",MCAin!$U97*$Q81)</f>
        <v/>
      </c>
      <c r="AR81" s="496" t="str">
        <f>IF($R81="","",MCAin!$U97*$R81)</f>
        <v/>
      </c>
      <c r="AS81" s="497" t="str">
        <f>IF($S81="","",MCAin!$U97*$S81)</f>
        <v/>
      </c>
      <c r="AT81" s="495" t="str">
        <f>IF($N81="","",MCAin!$V97*$N81)</f>
        <v/>
      </c>
      <c r="AU81" s="496" t="str">
        <f>IF($O81="","",MCAin!$V97*$O81)</f>
        <v/>
      </c>
      <c r="AV81" s="496" t="str">
        <f>IF($P81="","",MCAin!$V97*$P81)</f>
        <v/>
      </c>
      <c r="AW81" s="496" t="str">
        <f>IF($Q81="","",MCAin!$V97*$Q81)</f>
        <v/>
      </c>
      <c r="AX81" s="496" t="str">
        <f>IF($R81="","",MCAin!$V97*$R81)</f>
        <v/>
      </c>
      <c r="AY81" s="497" t="str">
        <f>IF($S81="","",MCAin!$V97*$S81)</f>
        <v/>
      </c>
      <c r="AZ81" s="495" t="str">
        <f>IF($N81="","",MCAin!$W97*$N81)</f>
        <v/>
      </c>
      <c r="BA81" s="496" t="str">
        <f>IF($O81="","",MCAin!$W97*$O81)</f>
        <v/>
      </c>
      <c r="BB81" s="496" t="str">
        <f>IF($P81="","",MCAin!$W97*$P81)</f>
        <v/>
      </c>
      <c r="BC81" s="496" t="str">
        <f>IF($Q81="","",MCAin!$W97*$Q81)</f>
        <v/>
      </c>
      <c r="BD81" s="496" t="str">
        <f>IF($R81="","",MCAin!$W97*$R81)</f>
        <v/>
      </c>
      <c r="BE81" s="497" t="str">
        <f>IF($S81="","",MCAin!$W97*$S81)</f>
        <v/>
      </c>
      <c r="BF81" s="495" t="str">
        <f>IF($N81="","",MCAin!$X97*$N81)</f>
        <v/>
      </c>
      <c r="BG81" s="496" t="str">
        <f>IF($O81="","",MCAin!$X97*$O81)</f>
        <v/>
      </c>
      <c r="BH81" s="496" t="str">
        <f>IF($P81="","",MCAin!$X97*$P81)</f>
        <v/>
      </c>
      <c r="BI81" s="496" t="str">
        <f>IF($Q81="","",MCAin!$X97*$Q81)</f>
        <v/>
      </c>
      <c r="BJ81" s="496" t="str">
        <f>IF($R81="","",MCAin!$X97*$R81)</f>
        <v/>
      </c>
      <c r="BK81" s="497" t="str">
        <f>IF($S81="","",MCAin!$X97*$S81)</f>
        <v/>
      </c>
      <c r="BL81" s="495" t="str">
        <f>IF($N81="","",MCAin!$Y97*$N81)</f>
        <v/>
      </c>
      <c r="BM81" s="496" t="str">
        <f>IF($O81="","",MCAin!$Y97*$O81)</f>
        <v/>
      </c>
      <c r="BN81" s="496" t="str">
        <f>IF($P81="","",MCAin!$Y97*$P81)</f>
        <v/>
      </c>
      <c r="BO81" s="496" t="str">
        <f>IF($Q81="","",MCAin!$Y97*$Q81)</f>
        <v/>
      </c>
      <c r="BP81" s="496" t="str">
        <f>IF($R81="","",MCAin!$Y97*$R81)</f>
        <v/>
      </c>
      <c r="BQ81" s="497" t="str">
        <f>IF($S81="","",MCAin!$Y97*$S81)</f>
        <v/>
      </c>
      <c r="BR81" s="315"/>
      <c r="BS81" s="315"/>
      <c r="BT81" s="315"/>
      <c r="BU81" s="315"/>
      <c r="BV81" s="315"/>
      <c r="BW81" s="315"/>
      <c r="BX81" s="315"/>
      <c r="BY81" s="315"/>
      <c r="BZ81" s="315"/>
    </row>
    <row r="82" spans="1:78" ht="15" customHeight="1">
      <c r="A82" s="510" t="str">
        <f>PTAout!C118</f>
        <v>Car parking</v>
      </c>
      <c r="B82" s="511"/>
      <c r="C82" s="500"/>
      <c r="D82" s="501"/>
      <c r="E82" s="501"/>
      <c r="F82" s="501"/>
      <c r="G82" s="501"/>
      <c r="H82" s="501"/>
      <c r="I82" s="501"/>
      <c r="J82" s="502"/>
      <c r="K82" s="502"/>
      <c r="L82" s="503"/>
      <c r="M82" s="504"/>
      <c r="N82" s="504"/>
      <c r="O82" s="504"/>
      <c r="P82" s="504"/>
      <c r="Q82" s="504"/>
      <c r="R82" s="504"/>
      <c r="S82" s="504"/>
      <c r="T82" s="504"/>
      <c r="U82" s="504"/>
      <c r="V82" s="507"/>
      <c r="W82" s="508"/>
      <c r="X82" s="508"/>
      <c r="Y82" s="508"/>
      <c r="Z82" s="508"/>
      <c r="AA82" s="509"/>
      <c r="AB82" s="507"/>
      <c r="AC82" s="508"/>
      <c r="AD82" s="508"/>
      <c r="AE82" s="508"/>
      <c r="AF82" s="508"/>
      <c r="AG82" s="509"/>
      <c r="AH82" s="507"/>
      <c r="AI82" s="508"/>
      <c r="AJ82" s="508"/>
      <c r="AK82" s="508"/>
      <c r="AL82" s="508"/>
      <c r="AM82" s="509"/>
      <c r="AN82" s="507"/>
      <c r="AO82" s="508"/>
      <c r="AP82" s="508"/>
      <c r="AQ82" s="508"/>
      <c r="AR82" s="508"/>
      <c r="AS82" s="509"/>
      <c r="AT82" s="507"/>
      <c r="AU82" s="508"/>
      <c r="AV82" s="508"/>
      <c r="AW82" s="508"/>
      <c r="AX82" s="508"/>
      <c r="AY82" s="509"/>
      <c r="AZ82" s="507"/>
      <c r="BA82" s="508"/>
      <c r="BB82" s="508"/>
      <c r="BC82" s="508"/>
      <c r="BD82" s="508"/>
      <c r="BE82" s="509"/>
      <c r="BF82" s="507"/>
      <c r="BG82" s="508"/>
      <c r="BH82" s="508"/>
      <c r="BI82" s="508"/>
      <c r="BJ82" s="508"/>
      <c r="BK82" s="509"/>
      <c r="BL82" s="507"/>
      <c r="BM82" s="508"/>
      <c r="BN82" s="508"/>
      <c r="BO82" s="508"/>
      <c r="BP82" s="508"/>
      <c r="BQ82" s="509"/>
      <c r="BR82" s="315"/>
      <c r="BS82" s="315"/>
      <c r="BT82" s="315"/>
      <c r="BU82" s="315"/>
      <c r="BV82" s="315"/>
      <c r="BW82" s="315"/>
      <c r="BX82" s="315"/>
      <c r="BY82" s="315"/>
      <c r="BZ82" s="315"/>
    </row>
    <row r="83" spans="1:78" ht="15" customHeight="1">
      <c r="A83" s="314"/>
      <c r="B83" s="110" t="str">
        <f>PTAout!D119</f>
        <v>Space</v>
      </c>
      <c r="C83" s="316"/>
      <c r="D83" s="318" t="str">
        <f>PTAout!H119</f>
        <v/>
      </c>
      <c r="E83" s="318" t="str">
        <f>PTAout!L119</f>
        <v/>
      </c>
      <c r="F83" s="318" t="str">
        <f>PTAout!Q119</f>
        <v/>
      </c>
      <c r="G83" s="318" t="str">
        <f>PTAout!V119</f>
        <v/>
      </c>
      <c r="H83" s="318" t="str">
        <f>PTAout!AA119</f>
        <v/>
      </c>
      <c r="I83" s="318" t="str">
        <f>PTAout!AF119</f>
        <v/>
      </c>
      <c r="J83" s="484">
        <f>IF(MCAin!O99="","",MCAin!O99)</f>
        <v>0</v>
      </c>
      <c r="K83" s="484">
        <f>IF(MCAin!P99="","",MCAin!P99)</f>
        <v>10</v>
      </c>
      <c r="L83" s="314"/>
      <c r="M83" s="534" t="str">
        <f>IF(AND(COUNTIF(D83:I83,"&gt;=0")=$D$1,J83&gt;=0,K83&gt;=0,MCAin!$Q99=""),1,"")</f>
        <v/>
      </c>
      <c r="N83" s="343" t="str">
        <f t="shared" ref="N83:S86" si="11">IF(OR($M83&lt;&gt;1,D83=""),"",(D83-$J83)/($K83-$J83))</f>
        <v/>
      </c>
      <c r="O83" s="343" t="str">
        <f t="shared" si="11"/>
        <v/>
      </c>
      <c r="P83" s="343" t="str">
        <f t="shared" si="11"/>
        <v/>
      </c>
      <c r="Q83" s="343" t="str">
        <f t="shared" si="11"/>
        <v/>
      </c>
      <c r="R83" s="343" t="str">
        <f t="shared" si="11"/>
        <v/>
      </c>
      <c r="S83" s="343" t="str">
        <f t="shared" si="11"/>
        <v/>
      </c>
      <c r="T83" s="343"/>
      <c r="U83" s="344"/>
      <c r="V83" s="463" t="str">
        <f>IF($N83="","",MCAin!$R99*$N83)</f>
        <v/>
      </c>
      <c r="W83" s="345" t="str">
        <f>IF($O83="","",MCAin!$R99*$O83)</f>
        <v/>
      </c>
      <c r="X83" s="345" t="str">
        <f>IF($P83="","",MCAin!$R99*$P83)</f>
        <v/>
      </c>
      <c r="Y83" s="345" t="str">
        <f>IF($Q83="","",MCAin!$R99*$Q83)</f>
        <v/>
      </c>
      <c r="Z83" s="345" t="str">
        <f>IF($R83="","",MCAin!$R99*$R83)</f>
        <v/>
      </c>
      <c r="AA83" s="347" t="str">
        <f>IF($S83="","",MCAin!$R99*$S83)</f>
        <v/>
      </c>
      <c r="AB83" s="463" t="str">
        <f>IF($N83="","",MCAin!$S99*$N83)</f>
        <v/>
      </c>
      <c r="AC83" s="345" t="str">
        <f>IF($O83="","",MCAin!$S99*$O83)</f>
        <v/>
      </c>
      <c r="AD83" s="345" t="str">
        <f>IF($P83="","",MCAin!$S99*$P83)</f>
        <v/>
      </c>
      <c r="AE83" s="345" t="str">
        <f>IF($Q83="","",MCAin!$R99*$Q83)</f>
        <v/>
      </c>
      <c r="AF83" s="345" t="str">
        <f>IF($R83="","",MCAin!$R99*$R83)</f>
        <v/>
      </c>
      <c r="AG83" s="347" t="str">
        <f>IF($S83="","",MCAin!$S99*$S83)</f>
        <v/>
      </c>
      <c r="AH83" s="463" t="str">
        <f>IF($N83="","",MCAin!$T99*$N83)</f>
        <v/>
      </c>
      <c r="AI83" s="345" t="str">
        <f>IF($O83="","",MCAin!$T99*$O83)</f>
        <v/>
      </c>
      <c r="AJ83" s="345" t="str">
        <f>IF($P83="","",MCAin!$T99*$P83)</f>
        <v/>
      </c>
      <c r="AK83" s="345" t="str">
        <f>IF($Q83="","",MCAin!$T99*$Q83)</f>
        <v/>
      </c>
      <c r="AL83" s="345" t="str">
        <f>IF($R83="","",MCAin!$R99*$R83)</f>
        <v/>
      </c>
      <c r="AM83" s="347" t="str">
        <f>IF($S83="","",MCAin!$S99*$S83)</f>
        <v/>
      </c>
      <c r="AN83" s="463" t="str">
        <f>IF($N83="","",MCAin!$U99*$N83)</f>
        <v/>
      </c>
      <c r="AO83" s="345" t="str">
        <f>IF($O83="","",MCAin!$U99*$O83)</f>
        <v/>
      </c>
      <c r="AP83" s="345" t="str">
        <f>IF($P83="","",MCAin!$U99*$P83)</f>
        <v/>
      </c>
      <c r="AQ83" s="345" t="str">
        <f>IF($Q83="","",MCAin!$U99*$Q83)</f>
        <v/>
      </c>
      <c r="AR83" s="345" t="str">
        <f>IF($R83="","",MCAin!$U99*$R83)</f>
        <v/>
      </c>
      <c r="AS83" s="347" t="str">
        <f>IF($S83="","",MCAin!$U99*$S83)</f>
        <v/>
      </c>
      <c r="AT83" s="463" t="str">
        <f>IF($N83="","",MCAin!$V99*$N83)</f>
        <v/>
      </c>
      <c r="AU83" s="345" t="str">
        <f>IF($O83="","",MCAin!$V99*$O83)</f>
        <v/>
      </c>
      <c r="AV83" s="345" t="str">
        <f>IF($P83="","",MCAin!$V99*$P83)</f>
        <v/>
      </c>
      <c r="AW83" s="345" t="str">
        <f>IF($Q83="","",MCAin!$V99*$Q83)</f>
        <v/>
      </c>
      <c r="AX83" s="345" t="str">
        <f>IF($R83="","",MCAin!$V99*$R83)</f>
        <v/>
      </c>
      <c r="AY83" s="347" t="str">
        <f>IF($S83="","",MCAin!$V99*$S83)</f>
        <v/>
      </c>
      <c r="AZ83" s="463" t="str">
        <f>IF($N83="","",MCAin!$W99*$N83)</f>
        <v/>
      </c>
      <c r="BA83" s="345" t="str">
        <f>IF($O83="","",MCAin!$W99*$O83)</f>
        <v/>
      </c>
      <c r="BB83" s="345" t="str">
        <f>IF($P83="","",MCAin!$W99*$P83)</f>
        <v/>
      </c>
      <c r="BC83" s="345" t="str">
        <f>IF($Q83="","",MCAin!$W99*$Q83)</f>
        <v/>
      </c>
      <c r="BD83" s="345" t="str">
        <f>IF($R83="","",MCAin!$W99*$R83)</f>
        <v/>
      </c>
      <c r="BE83" s="347" t="str">
        <f>IF($S83="","",MCAin!$W99*$S83)</f>
        <v/>
      </c>
      <c r="BF83" s="463" t="str">
        <f>IF($N83="","",MCAin!$X99*$N83)</f>
        <v/>
      </c>
      <c r="BG83" s="345" t="str">
        <f>IF($O83="","",MCAin!$X99*$O83)</f>
        <v/>
      </c>
      <c r="BH83" s="345" t="str">
        <f>IF($P83="","",MCAin!$X99*$P83)</f>
        <v/>
      </c>
      <c r="BI83" s="345" t="str">
        <f>IF($Q83="","",MCAin!$X99*$Q83)</f>
        <v/>
      </c>
      <c r="BJ83" s="345" t="str">
        <f>IF($R83="","",MCAin!$X99*$R83)</f>
        <v/>
      </c>
      <c r="BK83" s="347" t="str">
        <f>IF($S83="","",MCAin!$X99*$S83)</f>
        <v/>
      </c>
      <c r="BL83" s="463" t="str">
        <f>IF($N83="","",MCAin!$Y99*$N83)</f>
        <v/>
      </c>
      <c r="BM83" s="345" t="str">
        <f>IF($O83="","",MCAin!$Y99*$O83)</f>
        <v/>
      </c>
      <c r="BN83" s="345" t="str">
        <f>IF($P83="","",MCAin!$Y99*$P83)</f>
        <v/>
      </c>
      <c r="BO83" s="345" t="str">
        <f>IF($Q83="","",MCAin!$Y99*$Q83)</f>
        <v/>
      </c>
      <c r="BP83" s="345" t="str">
        <f>IF($R83="","",MCAin!$Y99*$R83)</f>
        <v/>
      </c>
      <c r="BQ83" s="347" t="str">
        <f>IF($S83="","",MCAin!$Y99*$S83)</f>
        <v/>
      </c>
      <c r="BR83" s="315"/>
      <c r="BS83" s="315"/>
      <c r="BT83" s="315"/>
      <c r="BU83" s="315"/>
      <c r="BV83" s="315"/>
      <c r="BW83" s="315"/>
      <c r="BX83" s="315"/>
      <c r="BY83" s="315"/>
      <c r="BZ83" s="315"/>
    </row>
    <row r="84" spans="1:78" ht="15" customHeight="1">
      <c r="A84" s="314"/>
      <c r="B84" s="110" t="str">
        <f>PTAout!D120</f>
        <v>Number of activities</v>
      </c>
      <c r="C84" s="316"/>
      <c r="D84" s="327" t="str">
        <f>PTAout!H120</f>
        <v/>
      </c>
      <c r="E84" s="327" t="str">
        <f>PTAout!L120</f>
        <v/>
      </c>
      <c r="F84" s="327" t="str">
        <f>PTAout!Q120</f>
        <v/>
      </c>
      <c r="G84" s="327" t="str">
        <f>PTAout!V120</f>
        <v/>
      </c>
      <c r="H84" s="327" t="str">
        <f>PTAout!AA120</f>
        <v/>
      </c>
      <c r="I84" s="327" t="str">
        <f>PTAout!AF120</f>
        <v/>
      </c>
      <c r="J84" s="487" t="str">
        <f>IF(MCAin!O100="","",MCAin!O100)</f>
        <v/>
      </c>
      <c r="K84" s="487" t="str">
        <f>IF(MCAin!P100="","",MCAin!P100)</f>
        <v/>
      </c>
      <c r="L84" s="314"/>
      <c r="M84" s="534" t="str">
        <f>IF(AND(COUNTIF(D84:I84,"&gt;=0")=$D$1,J84&gt;=0,K84&gt;=0,MCAin!$Q100=""),1,"")</f>
        <v/>
      </c>
      <c r="N84" s="343" t="str">
        <f t="shared" si="11"/>
        <v/>
      </c>
      <c r="O84" s="343" t="str">
        <f t="shared" si="11"/>
        <v/>
      </c>
      <c r="P84" s="343" t="str">
        <f t="shared" si="11"/>
        <v/>
      </c>
      <c r="Q84" s="343" t="str">
        <f t="shared" si="11"/>
        <v/>
      </c>
      <c r="R84" s="343" t="str">
        <f t="shared" si="11"/>
        <v/>
      </c>
      <c r="S84" s="343" t="str">
        <f t="shared" si="11"/>
        <v/>
      </c>
      <c r="T84" s="343"/>
      <c r="U84" s="344"/>
      <c r="V84" s="463" t="str">
        <f>IF($N84="","",MCAin!$R100*$N84)</f>
        <v/>
      </c>
      <c r="W84" s="345" t="str">
        <f>IF($O84="","",MCAin!$R100*$O84)</f>
        <v/>
      </c>
      <c r="X84" s="345" t="str">
        <f>IF($P84="","",MCAin!$R100*$P84)</f>
        <v/>
      </c>
      <c r="Y84" s="345" t="str">
        <f>IF($Q84="","",MCAin!$R100*$Q84)</f>
        <v/>
      </c>
      <c r="Z84" s="345" t="str">
        <f>IF($R84="","",MCAin!$R100*$R84)</f>
        <v/>
      </c>
      <c r="AA84" s="347" t="str">
        <f>IF($S84="","",MCAin!$R100*$S84)</f>
        <v/>
      </c>
      <c r="AB84" s="463" t="str">
        <f>IF($N84="","",MCAin!$S100*$N84)</f>
        <v/>
      </c>
      <c r="AC84" s="345" t="str">
        <f>IF($O84="","",MCAin!$S100*$O84)</f>
        <v/>
      </c>
      <c r="AD84" s="345" t="str">
        <f>IF($P84="","",MCAin!$S100*$P84)</f>
        <v/>
      </c>
      <c r="AE84" s="345" t="str">
        <f>IF($Q84="","",MCAin!$R100*$Q84)</f>
        <v/>
      </c>
      <c r="AF84" s="345" t="str">
        <f>IF($R84="","",MCAin!$R100*$R84)</f>
        <v/>
      </c>
      <c r="AG84" s="347" t="str">
        <f>IF($S84="","",MCAin!$S100*$S84)</f>
        <v/>
      </c>
      <c r="AH84" s="463" t="str">
        <f>IF($N84="","",MCAin!$T100*$N84)</f>
        <v/>
      </c>
      <c r="AI84" s="345" t="str">
        <f>IF($O84="","",MCAin!$T100*$O84)</f>
        <v/>
      </c>
      <c r="AJ84" s="345" t="str">
        <f>IF($P84="","",MCAin!$T100*$P84)</f>
        <v/>
      </c>
      <c r="AK84" s="345" t="str">
        <f>IF($Q84="","",MCAin!$T100*$Q84)</f>
        <v/>
      </c>
      <c r="AL84" s="345" t="str">
        <f>IF($R84="","",MCAin!$R100*$R84)</f>
        <v/>
      </c>
      <c r="AM84" s="347" t="str">
        <f>IF($S84="","",MCAin!$S100*$S84)</f>
        <v/>
      </c>
      <c r="AN84" s="463" t="str">
        <f>IF($N84="","",MCAin!$U100*$N84)</f>
        <v/>
      </c>
      <c r="AO84" s="345" t="str">
        <f>IF($O84="","",MCAin!$U100*$O84)</f>
        <v/>
      </c>
      <c r="AP84" s="345" t="str">
        <f>IF($P84="","",MCAin!$U100*$P84)</f>
        <v/>
      </c>
      <c r="AQ84" s="345" t="str">
        <f>IF($Q84="","",MCAin!$U100*$Q84)</f>
        <v/>
      </c>
      <c r="AR84" s="345" t="str">
        <f>IF($R84="","",MCAin!$U100*$R84)</f>
        <v/>
      </c>
      <c r="AS84" s="347" t="str">
        <f>IF($S84="","",MCAin!$U100*$S84)</f>
        <v/>
      </c>
      <c r="AT84" s="463" t="str">
        <f>IF($N84="","",MCAin!$V100*$N84)</f>
        <v/>
      </c>
      <c r="AU84" s="345" t="str">
        <f>IF($O84="","",MCAin!$V100*$O84)</f>
        <v/>
      </c>
      <c r="AV84" s="345" t="str">
        <f>IF($P84="","",MCAin!$V100*$P84)</f>
        <v/>
      </c>
      <c r="AW84" s="345" t="str">
        <f>IF($Q84="","",MCAin!$V100*$Q84)</f>
        <v/>
      </c>
      <c r="AX84" s="345" t="str">
        <f>IF($R84="","",MCAin!$V100*$R84)</f>
        <v/>
      </c>
      <c r="AY84" s="347" t="str">
        <f>IF($S84="","",MCAin!$V100*$S84)</f>
        <v/>
      </c>
      <c r="AZ84" s="463" t="str">
        <f>IF($N84="","",MCAin!$W100*$N84)</f>
        <v/>
      </c>
      <c r="BA84" s="345" t="str">
        <f>IF($O84="","",MCAin!$W100*$O84)</f>
        <v/>
      </c>
      <c r="BB84" s="345" t="str">
        <f>IF($P84="","",MCAin!$W100*$P84)</f>
        <v/>
      </c>
      <c r="BC84" s="345" t="str">
        <f>IF($Q84="","",MCAin!$W100*$Q84)</f>
        <v/>
      </c>
      <c r="BD84" s="345" t="str">
        <f>IF($R84="","",MCAin!$W100*$R84)</f>
        <v/>
      </c>
      <c r="BE84" s="347" t="str">
        <f>IF($S84="","",MCAin!$W100*$S84)</f>
        <v/>
      </c>
      <c r="BF84" s="463" t="str">
        <f>IF($N84="","",MCAin!$X100*$N84)</f>
        <v/>
      </c>
      <c r="BG84" s="345" t="str">
        <f>IF($O84="","",MCAin!$X100*$O84)</f>
        <v/>
      </c>
      <c r="BH84" s="345" t="str">
        <f>IF($P84="","",MCAin!$X100*$P84)</f>
        <v/>
      </c>
      <c r="BI84" s="345" t="str">
        <f>IF($Q84="","",MCAin!$X100*$Q84)</f>
        <v/>
      </c>
      <c r="BJ84" s="345" t="str">
        <f>IF($R84="","",MCAin!$X100*$R84)</f>
        <v/>
      </c>
      <c r="BK84" s="347" t="str">
        <f>IF($S84="","",MCAin!$X100*$S84)</f>
        <v/>
      </c>
      <c r="BL84" s="463" t="str">
        <f>IF($N84="","",MCAin!$Y100*$N84)</f>
        <v/>
      </c>
      <c r="BM84" s="345" t="str">
        <f>IF($O84="","",MCAin!$Y100*$O84)</f>
        <v/>
      </c>
      <c r="BN84" s="345" t="str">
        <f>IF($P84="","",MCAin!$Y100*$P84)</f>
        <v/>
      </c>
      <c r="BO84" s="345" t="str">
        <f>IF($Q84="","",MCAin!$Y100*$Q84)</f>
        <v/>
      </c>
      <c r="BP84" s="345" t="str">
        <f>IF($R84="","",MCAin!$Y100*$R84)</f>
        <v/>
      </c>
      <c r="BQ84" s="347" t="str">
        <f>IF($S84="","",MCAin!$Y100*$S84)</f>
        <v/>
      </c>
      <c r="BR84" s="315"/>
      <c r="BS84" s="315"/>
      <c r="BT84" s="315"/>
      <c r="BU84" s="315"/>
      <c r="BV84" s="315"/>
      <c r="BW84" s="315"/>
      <c r="BX84" s="315"/>
      <c r="BY84" s="315"/>
      <c r="BZ84" s="315"/>
    </row>
    <row r="85" spans="1:78" ht="15" customHeight="1">
      <c r="A85" s="314"/>
      <c r="B85" s="110" t="str">
        <f>PTAout!D121</f>
        <v>Duration</v>
      </c>
      <c r="C85" s="316"/>
      <c r="D85" s="318" t="str">
        <f>PTAout!H121</f>
        <v/>
      </c>
      <c r="E85" s="318" t="str">
        <f>PTAout!L121</f>
        <v/>
      </c>
      <c r="F85" s="318" t="str">
        <f>PTAout!Q121</f>
        <v/>
      </c>
      <c r="G85" s="318" t="str">
        <f>PTAout!V121</f>
        <v/>
      </c>
      <c r="H85" s="318" t="str">
        <f>PTAout!AA121</f>
        <v/>
      </c>
      <c r="I85" s="318" t="str">
        <f>PTAout!AF121</f>
        <v/>
      </c>
      <c r="J85" s="487" t="str">
        <f>IF(MCAin!O101="","",MCAin!O101)</f>
        <v/>
      </c>
      <c r="K85" s="487" t="str">
        <f>IF(MCAin!P101="","",MCAin!P101)</f>
        <v/>
      </c>
      <c r="L85" s="314"/>
      <c r="M85" s="534" t="str">
        <f>IF(AND(COUNTIF(D85:I85,"&gt;=0")=$D$1,J85&gt;=0,K85&gt;=0,MCAin!$Q101=""),1,"")</f>
        <v/>
      </c>
      <c r="N85" s="343" t="str">
        <f t="shared" si="11"/>
        <v/>
      </c>
      <c r="O85" s="343" t="str">
        <f t="shared" si="11"/>
        <v/>
      </c>
      <c r="P85" s="343" t="str">
        <f t="shared" si="11"/>
        <v/>
      </c>
      <c r="Q85" s="343" t="str">
        <f t="shared" si="11"/>
        <v/>
      </c>
      <c r="R85" s="343" t="str">
        <f t="shared" si="11"/>
        <v/>
      </c>
      <c r="S85" s="343" t="str">
        <f t="shared" si="11"/>
        <v/>
      </c>
      <c r="T85" s="343"/>
      <c r="U85" s="344"/>
      <c r="V85" s="463" t="str">
        <f>IF($N85="","",MCAin!$R101*$N85)</f>
        <v/>
      </c>
      <c r="W85" s="345" t="str">
        <f>IF($O85="","",MCAin!$R101*$O85)</f>
        <v/>
      </c>
      <c r="X85" s="345" t="str">
        <f>IF($P85="","",MCAin!$R101*$P85)</f>
        <v/>
      </c>
      <c r="Y85" s="345" t="str">
        <f>IF($Q85="","",MCAin!$R101*$Q85)</f>
        <v/>
      </c>
      <c r="Z85" s="345" t="str">
        <f>IF($R85="","",MCAin!$R101*$R85)</f>
        <v/>
      </c>
      <c r="AA85" s="347" t="str">
        <f>IF($S85="","",MCAin!$R101*$S85)</f>
        <v/>
      </c>
      <c r="AB85" s="463" t="str">
        <f>IF($N85="","",MCAin!$S101*$N85)</f>
        <v/>
      </c>
      <c r="AC85" s="345" t="str">
        <f>IF($O85="","",MCAin!$S101*$O85)</f>
        <v/>
      </c>
      <c r="AD85" s="345" t="str">
        <f>IF($P85="","",MCAin!$S101*$P85)</f>
        <v/>
      </c>
      <c r="AE85" s="345" t="str">
        <f>IF($Q85="","",MCAin!$R101*$Q85)</f>
        <v/>
      </c>
      <c r="AF85" s="345" t="str">
        <f>IF($R85="","",MCAin!$R101*$R85)</f>
        <v/>
      </c>
      <c r="AG85" s="347" t="str">
        <f>IF($S85="","",MCAin!$S101*$S85)</f>
        <v/>
      </c>
      <c r="AH85" s="463" t="str">
        <f>IF($N85="","",MCAin!$T101*$N85)</f>
        <v/>
      </c>
      <c r="AI85" s="345" t="str">
        <f>IF($O85="","",MCAin!$T101*$O85)</f>
        <v/>
      </c>
      <c r="AJ85" s="345" t="str">
        <f>IF($P85="","",MCAin!$T101*$P85)</f>
        <v/>
      </c>
      <c r="AK85" s="345" t="str">
        <f>IF($Q85="","",MCAin!$T101*$Q85)</f>
        <v/>
      </c>
      <c r="AL85" s="345" t="str">
        <f>IF($R85="","",MCAin!$R101*$R85)</f>
        <v/>
      </c>
      <c r="AM85" s="347" t="str">
        <f>IF($S85="","",MCAin!$S101*$S85)</f>
        <v/>
      </c>
      <c r="AN85" s="463" t="str">
        <f>IF($N85="","",MCAin!$U101*$N85)</f>
        <v/>
      </c>
      <c r="AO85" s="345" t="str">
        <f>IF($O85="","",MCAin!$U101*$O85)</f>
        <v/>
      </c>
      <c r="AP85" s="345" t="str">
        <f>IF($P85="","",MCAin!$U101*$P85)</f>
        <v/>
      </c>
      <c r="AQ85" s="345" t="str">
        <f>IF($Q85="","",MCAin!$U101*$Q85)</f>
        <v/>
      </c>
      <c r="AR85" s="345" t="str">
        <f>IF($R85="","",MCAin!$U101*$R85)</f>
        <v/>
      </c>
      <c r="AS85" s="347" t="str">
        <f>IF($S85="","",MCAin!$U101*$S85)</f>
        <v/>
      </c>
      <c r="AT85" s="463" t="str">
        <f>IF($N85="","",MCAin!$V101*$N85)</f>
        <v/>
      </c>
      <c r="AU85" s="345" t="str">
        <f>IF($O85="","",MCAin!$V101*$O85)</f>
        <v/>
      </c>
      <c r="AV85" s="345" t="str">
        <f>IF($P85="","",MCAin!$V101*$P85)</f>
        <v/>
      </c>
      <c r="AW85" s="345" t="str">
        <f>IF($Q85="","",MCAin!$V101*$Q85)</f>
        <v/>
      </c>
      <c r="AX85" s="345" t="str">
        <f>IF($R85="","",MCAin!$V101*$R85)</f>
        <v/>
      </c>
      <c r="AY85" s="347" t="str">
        <f>IF($S85="","",MCAin!$V101*$S85)</f>
        <v/>
      </c>
      <c r="AZ85" s="463" t="str">
        <f>IF($N85="","",MCAin!$W101*$N85)</f>
        <v/>
      </c>
      <c r="BA85" s="345" t="str">
        <f>IF($O85="","",MCAin!$W101*$O85)</f>
        <v/>
      </c>
      <c r="BB85" s="345" t="str">
        <f>IF($P85="","",MCAin!$W101*$P85)</f>
        <v/>
      </c>
      <c r="BC85" s="345" t="str">
        <f>IF($Q85="","",MCAin!$W101*$Q85)</f>
        <v/>
      </c>
      <c r="BD85" s="345" t="str">
        <f>IF($R85="","",MCAin!$W101*$R85)</f>
        <v/>
      </c>
      <c r="BE85" s="347" t="str">
        <f>IF($S85="","",MCAin!$W101*$S85)</f>
        <v/>
      </c>
      <c r="BF85" s="463" t="str">
        <f>IF($N85="","",MCAin!$X101*$N85)</f>
        <v/>
      </c>
      <c r="BG85" s="345" t="str">
        <f>IF($O85="","",MCAin!$X101*$O85)</f>
        <v/>
      </c>
      <c r="BH85" s="345" t="str">
        <f>IF($P85="","",MCAin!$X101*$P85)</f>
        <v/>
      </c>
      <c r="BI85" s="345" t="str">
        <f>IF($Q85="","",MCAin!$X101*$Q85)</f>
        <v/>
      </c>
      <c r="BJ85" s="345" t="str">
        <f>IF($R85="","",MCAin!$X101*$R85)</f>
        <v/>
      </c>
      <c r="BK85" s="347" t="str">
        <f>IF($S85="","",MCAin!$X101*$S85)</f>
        <v/>
      </c>
      <c r="BL85" s="463" t="str">
        <f>IF($N85="","",MCAin!$Y101*$N85)</f>
        <v/>
      </c>
      <c r="BM85" s="345" t="str">
        <f>IF($O85="","",MCAin!$Y101*$O85)</f>
        <v/>
      </c>
      <c r="BN85" s="345" t="str">
        <f>IF($P85="","",MCAin!$Y101*$P85)</f>
        <v/>
      </c>
      <c r="BO85" s="345" t="str">
        <f>IF($Q85="","",MCAin!$Y101*$Q85)</f>
        <v/>
      </c>
      <c r="BP85" s="345" t="str">
        <f>IF($R85="","",MCAin!$Y101*$R85)</f>
        <v/>
      </c>
      <c r="BQ85" s="347" t="str">
        <f>IF($S85="","",MCAin!$Y101*$S85)</f>
        <v/>
      </c>
      <c r="BR85" s="315"/>
      <c r="BS85" s="315"/>
      <c r="BT85" s="315"/>
      <c r="BU85" s="315"/>
      <c r="BV85" s="315"/>
      <c r="BW85" s="315"/>
      <c r="BX85" s="315"/>
      <c r="BY85" s="315"/>
      <c r="BZ85" s="315"/>
    </row>
    <row r="86" spans="1:78" ht="15" customHeight="1">
      <c r="A86" s="320"/>
      <c r="B86" s="118" t="str">
        <f>PTAout!D122</f>
        <v>Quality</v>
      </c>
      <c r="C86" s="321"/>
      <c r="D86" s="328" t="str">
        <f>PTAout!H122</f>
        <v/>
      </c>
      <c r="E86" s="328" t="str">
        <f>PTAout!L122</f>
        <v/>
      </c>
      <c r="F86" s="328" t="str">
        <f>PTAout!Q122</f>
        <v/>
      </c>
      <c r="G86" s="328" t="str">
        <f>PTAout!V122</f>
        <v/>
      </c>
      <c r="H86" s="328" t="str">
        <f>PTAout!AA122</f>
        <v/>
      </c>
      <c r="I86" s="328" t="str">
        <f>PTAout!AF122</f>
        <v/>
      </c>
      <c r="J86" s="489">
        <f>IF(MCAin!O102="","",MCAin!O102)</f>
        <v>100</v>
      </c>
      <c r="K86" s="489">
        <f>IF(MCAin!P102="","",MCAin!P102)</f>
        <v>0</v>
      </c>
      <c r="L86" s="314"/>
      <c r="M86" s="534" t="str">
        <f>IF(AND(COUNTIF(D86:I86,"&gt;=0")=$D$1,J86&gt;=0,K86&gt;=0,MCAin!$Q102=""),1,"")</f>
        <v/>
      </c>
      <c r="N86" s="492" t="str">
        <f t="shared" si="11"/>
        <v/>
      </c>
      <c r="O86" s="492" t="str">
        <f t="shared" si="11"/>
        <v/>
      </c>
      <c r="P86" s="492" t="str">
        <f t="shared" si="11"/>
        <v/>
      </c>
      <c r="Q86" s="492" t="str">
        <f t="shared" si="11"/>
        <v/>
      </c>
      <c r="R86" s="492" t="str">
        <f t="shared" si="11"/>
        <v/>
      </c>
      <c r="S86" s="492" t="str">
        <f t="shared" si="11"/>
        <v/>
      </c>
      <c r="T86" s="343"/>
      <c r="U86" s="344"/>
      <c r="V86" s="495" t="str">
        <f>IF($N86="","",MCAin!$R102*$N86)</f>
        <v/>
      </c>
      <c r="W86" s="496" t="str">
        <f>IF($O86="","",MCAin!$R102*$O86)</f>
        <v/>
      </c>
      <c r="X86" s="496" t="str">
        <f>IF($P86="","",MCAin!$R102*$P86)</f>
        <v/>
      </c>
      <c r="Y86" s="496" t="str">
        <f>IF($Q86="","",MCAin!$R102*$Q86)</f>
        <v/>
      </c>
      <c r="Z86" s="496" t="str">
        <f>IF($R86="","",MCAin!$R102*$R86)</f>
        <v/>
      </c>
      <c r="AA86" s="497" t="str">
        <f>IF($S86="","",MCAin!$R102*$S86)</f>
        <v/>
      </c>
      <c r="AB86" s="495" t="str">
        <f>IF($N86="","",MCAin!$S102*$N86)</f>
        <v/>
      </c>
      <c r="AC86" s="496" t="str">
        <f>IF($O86="","",MCAin!$S102*$O86)</f>
        <v/>
      </c>
      <c r="AD86" s="496" t="str">
        <f>IF($P86="","",MCAin!$S102*$P86)</f>
        <v/>
      </c>
      <c r="AE86" s="496" t="str">
        <f>IF($Q86="","",MCAin!$R102*$Q86)</f>
        <v/>
      </c>
      <c r="AF86" s="496" t="str">
        <f>IF($R86="","",MCAin!$R102*$R86)</f>
        <v/>
      </c>
      <c r="AG86" s="497" t="str">
        <f>IF($S86="","",MCAin!$S102*$S86)</f>
        <v/>
      </c>
      <c r="AH86" s="495" t="str">
        <f>IF($N86="","",MCAin!$T102*$N86)</f>
        <v/>
      </c>
      <c r="AI86" s="496" t="str">
        <f>IF($O86="","",MCAin!$T102*$O86)</f>
        <v/>
      </c>
      <c r="AJ86" s="496" t="str">
        <f>IF($P86="","",MCAin!$T102*$P86)</f>
        <v/>
      </c>
      <c r="AK86" s="496" t="str">
        <f>IF($Q86="","",MCAin!$T102*$Q86)</f>
        <v/>
      </c>
      <c r="AL86" s="496" t="str">
        <f>IF($R86="","",MCAin!$R102*$R86)</f>
        <v/>
      </c>
      <c r="AM86" s="497" t="str">
        <f>IF($S86="","",MCAin!$S102*$S86)</f>
        <v/>
      </c>
      <c r="AN86" s="495" t="str">
        <f>IF($N86="","",MCAin!$U102*$N86)</f>
        <v/>
      </c>
      <c r="AO86" s="496" t="str">
        <f>IF($O86="","",MCAin!$U102*$O86)</f>
        <v/>
      </c>
      <c r="AP86" s="496" t="str">
        <f>IF($P86="","",MCAin!$U102*$P86)</f>
        <v/>
      </c>
      <c r="AQ86" s="496" t="str">
        <f>IF($Q86="","",MCAin!$U102*$Q86)</f>
        <v/>
      </c>
      <c r="AR86" s="496" t="str">
        <f>IF($R86="","",MCAin!$U102*$R86)</f>
        <v/>
      </c>
      <c r="AS86" s="497" t="str">
        <f>IF($S86="","",MCAin!$U102*$S86)</f>
        <v/>
      </c>
      <c r="AT86" s="495" t="str">
        <f>IF($N86="","",MCAin!$V102*$N86)</f>
        <v/>
      </c>
      <c r="AU86" s="496" t="str">
        <f>IF($O86="","",MCAin!$V102*$O86)</f>
        <v/>
      </c>
      <c r="AV86" s="496" t="str">
        <f>IF($P86="","",MCAin!$V102*$P86)</f>
        <v/>
      </c>
      <c r="AW86" s="496" t="str">
        <f>IF($Q86="","",MCAin!$V102*$Q86)</f>
        <v/>
      </c>
      <c r="AX86" s="496" t="str">
        <f>IF($R86="","",MCAin!$V102*$R86)</f>
        <v/>
      </c>
      <c r="AY86" s="497" t="str">
        <f>IF($S86="","",MCAin!$V102*$S86)</f>
        <v/>
      </c>
      <c r="AZ86" s="495" t="str">
        <f>IF($N86="","",MCAin!$W102*$N86)</f>
        <v/>
      </c>
      <c r="BA86" s="496" t="str">
        <f>IF($O86="","",MCAin!$W102*$O86)</f>
        <v/>
      </c>
      <c r="BB86" s="496" t="str">
        <f>IF($P86="","",MCAin!$W102*$P86)</f>
        <v/>
      </c>
      <c r="BC86" s="496" t="str">
        <f>IF($Q86="","",MCAin!$W102*$Q86)</f>
        <v/>
      </c>
      <c r="BD86" s="496" t="str">
        <f>IF($R86="","",MCAin!$W102*$R86)</f>
        <v/>
      </c>
      <c r="BE86" s="497" t="str">
        <f>IF($S86="","",MCAin!$W102*$S86)</f>
        <v/>
      </c>
      <c r="BF86" s="495" t="str">
        <f>IF($N86="","",MCAin!$X102*$N86)</f>
        <v/>
      </c>
      <c r="BG86" s="496" t="str">
        <f>IF($O86="","",MCAin!$X102*$O86)</f>
        <v/>
      </c>
      <c r="BH86" s="496" t="str">
        <f>IF($P86="","",MCAin!$X102*$P86)</f>
        <v/>
      </c>
      <c r="BI86" s="496" t="str">
        <f>IF($Q86="","",MCAin!$X102*$Q86)</f>
        <v/>
      </c>
      <c r="BJ86" s="496" t="str">
        <f>IF($R86="","",MCAin!$X102*$R86)</f>
        <v/>
      </c>
      <c r="BK86" s="497" t="str">
        <f>IF($S86="","",MCAin!$X102*$S86)</f>
        <v/>
      </c>
      <c r="BL86" s="495" t="str">
        <f>IF($N86="","",MCAin!$Y102*$N86)</f>
        <v/>
      </c>
      <c r="BM86" s="496" t="str">
        <f>IF($O86="","",MCAin!$Y102*$O86)</f>
        <v/>
      </c>
      <c r="BN86" s="496" t="str">
        <f>IF($P86="","",MCAin!$Y102*$P86)</f>
        <v/>
      </c>
      <c r="BO86" s="496" t="str">
        <f>IF($Q86="","",MCAin!$Y102*$Q86)</f>
        <v/>
      </c>
      <c r="BP86" s="496" t="str">
        <f>IF($R86="","",MCAin!$Y102*$R86)</f>
        <v/>
      </c>
      <c r="BQ86" s="497" t="str">
        <f>IF($S86="","",MCAin!$Y102*$S86)</f>
        <v/>
      </c>
      <c r="BR86" s="315"/>
      <c r="BS86" s="315"/>
      <c r="BT86" s="315"/>
      <c r="BU86" s="315"/>
      <c r="BV86" s="315"/>
      <c r="BW86" s="315"/>
      <c r="BX86" s="315"/>
      <c r="BY86" s="315"/>
      <c r="BZ86" s="315"/>
    </row>
    <row r="87" spans="1:78" ht="15" customHeight="1">
      <c r="A87" s="510" t="str">
        <f>PTAout!C123</f>
        <v>Car/taxi stopping</v>
      </c>
      <c r="B87" s="511"/>
      <c r="C87" s="500"/>
      <c r="D87" s="501"/>
      <c r="E87" s="501"/>
      <c r="F87" s="501"/>
      <c r="G87" s="501"/>
      <c r="H87" s="501"/>
      <c r="I87" s="501"/>
      <c r="J87" s="502"/>
      <c r="K87" s="502"/>
      <c r="L87" s="503"/>
      <c r="M87" s="504"/>
      <c r="N87" s="504"/>
      <c r="O87" s="504"/>
      <c r="P87" s="504"/>
      <c r="Q87" s="504"/>
      <c r="R87" s="504"/>
      <c r="S87" s="504"/>
      <c r="T87" s="504"/>
      <c r="U87" s="504"/>
      <c r="V87" s="507"/>
      <c r="W87" s="508"/>
      <c r="X87" s="508"/>
      <c r="Y87" s="508"/>
      <c r="Z87" s="508"/>
      <c r="AA87" s="509"/>
      <c r="AB87" s="507"/>
      <c r="AC87" s="508"/>
      <c r="AD87" s="508"/>
      <c r="AE87" s="508"/>
      <c r="AF87" s="508"/>
      <c r="AG87" s="509"/>
      <c r="AH87" s="507"/>
      <c r="AI87" s="508"/>
      <c r="AJ87" s="508"/>
      <c r="AK87" s="508"/>
      <c r="AL87" s="508"/>
      <c r="AM87" s="509"/>
      <c r="AN87" s="507"/>
      <c r="AO87" s="508"/>
      <c r="AP87" s="508"/>
      <c r="AQ87" s="508"/>
      <c r="AR87" s="508"/>
      <c r="AS87" s="509"/>
      <c r="AT87" s="507"/>
      <c r="AU87" s="508"/>
      <c r="AV87" s="508"/>
      <c r="AW87" s="508"/>
      <c r="AX87" s="508"/>
      <c r="AY87" s="509"/>
      <c r="AZ87" s="507"/>
      <c r="BA87" s="508"/>
      <c r="BB87" s="508"/>
      <c r="BC87" s="508"/>
      <c r="BD87" s="508"/>
      <c r="BE87" s="509"/>
      <c r="BF87" s="507"/>
      <c r="BG87" s="508"/>
      <c r="BH87" s="508"/>
      <c r="BI87" s="508"/>
      <c r="BJ87" s="508"/>
      <c r="BK87" s="509"/>
      <c r="BL87" s="507"/>
      <c r="BM87" s="508"/>
      <c r="BN87" s="508"/>
      <c r="BO87" s="508"/>
      <c r="BP87" s="508"/>
      <c r="BQ87" s="509"/>
      <c r="BR87" s="315"/>
      <c r="BS87" s="315"/>
      <c r="BT87" s="315"/>
      <c r="BU87" s="315"/>
      <c r="BV87" s="315"/>
      <c r="BW87" s="315"/>
      <c r="BX87" s="315"/>
      <c r="BY87" s="315"/>
      <c r="BZ87" s="315"/>
    </row>
    <row r="88" spans="1:78" ht="15" customHeight="1">
      <c r="A88" s="314"/>
      <c r="B88" s="110" t="str">
        <f>PTAout!D124</f>
        <v>Space</v>
      </c>
      <c r="C88" s="316"/>
      <c r="D88" s="318" t="str">
        <f>PTAout!H124</f>
        <v/>
      </c>
      <c r="E88" s="318" t="str">
        <f>PTAout!L124</f>
        <v/>
      </c>
      <c r="F88" s="318" t="str">
        <f>PTAout!Q124</f>
        <v/>
      </c>
      <c r="G88" s="318" t="str">
        <f>PTAout!V124</f>
        <v/>
      </c>
      <c r="H88" s="318" t="str">
        <f>PTAout!AA124</f>
        <v/>
      </c>
      <c r="I88" s="318" t="str">
        <f>PTAout!AF124</f>
        <v/>
      </c>
      <c r="J88" s="484">
        <f>IF(MCAin!O104="","",MCAin!O104)</f>
        <v>0</v>
      </c>
      <c r="K88" s="484">
        <f>IF(MCAin!P104="","",MCAin!P104)</f>
        <v>4</v>
      </c>
      <c r="L88" s="314"/>
      <c r="M88" s="534" t="str">
        <f>IF(AND(COUNTIF(D88:I88,"&gt;=0")=$D$1,J88&gt;=0,K88&gt;=0,MCAin!$Q104=""),1,"")</f>
        <v/>
      </c>
      <c r="N88" s="343" t="str">
        <f t="shared" ref="N88:S91" si="12">IF(OR($M88&lt;&gt;1,D88=""),"",(D88-$J88)/($K88-$J88))</f>
        <v/>
      </c>
      <c r="O88" s="343" t="str">
        <f t="shared" si="12"/>
        <v/>
      </c>
      <c r="P88" s="343" t="str">
        <f t="shared" si="12"/>
        <v/>
      </c>
      <c r="Q88" s="343" t="str">
        <f t="shared" si="12"/>
        <v/>
      </c>
      <c r="R88" s="343" t="str">
        <f t="shared" si="12"/>
        <v/>
      </c>
      <c r="S88" s="343" t="str">
        <f t="shared" si="12"/>
        <v/>
      </c>
      <c r="T88" s="343"/>
      <c r="U88" s="344"/>
      <c r="V88" s="463" t="str">
        <f>IF($N88="","",MCAin!$R104*$N88)</f>
        <v/>
      </c>
      <c r="W88" s="345" t="str">
        <f>IF($O88="","",MCAin!$R104*$O88)</f>
        <v/>
      </c>
      <c r="X88" s="345" t="str">
        <f>IF($P88="","",MCAin!$R104*$P88)</f>
        <v/>
      </c>
      <c r="Y88" s="345" t="str">
        <f>IF($Q88="","",MCAin!$R104*$Q88)</f>
        <v/>
      </c>
      <c r="Z88" s="345" t="str">
        <f>IF($R88="","",MCAin!$R104*$R88)</f>
        <v/>
      </c>
      <c r="AA88" s="347" t="str">
        <f>IF($S88="","",MCAin!$R104*$S88)</f>
        <v/>
      </c>
      <c r="AB88" s="463" t="str">
        <f>IF($N88="","",MCAin!$S104*$N88)</f>
        <v/>
      </c>
      <c r="AC88" s="345" t="str">
        <f>IF($O88="","",MCAin!$S104*$O88)</f>
        <v/>
      </c>
      <c r="AD88" s="345" t="str">
        <f>IF($P88="","",MCAin!$S104*$P88)</f>
        <v/>
      </c>
      <c r="AE88" s="345" t="str">
        <f>IF($Q88="","",MCAin!$R104*$Q88)</f>
        <v/>
      </c>
      <c r="AF88" s="345" t="str">
        <f>IF($R88="","",MCAin!$R104*$R88)</f>
        <v/>
      </c>
      <c r="AG88" s="347" t="str">
        <f>IF($S88="","",MCAin!$S104*$S88)</f>
        <v/>
      </c>
      <c r="AH88" s="463" t="str">
        <f>IF($N88="","",MCAin!$T104*$N88)</f>
        <v/>
      </c>
      <c r="AI88" s="345" t="str">
        <f>IF($O88="","",MCAin!$T104*$O88)</f>
        <v/>
      </c>
      <c r="AJ88" s="345" t="str">
        <f>IF($P88="","",MCAin!$T104*$P88)</f>
        <v/>
      </c>
      <c r="AK88" s="345" t="str">
        <f>IF($Q88="","",MCAin!$T104*$Q88)</f>
        <v/>
      </c>
      <c r="AL88" s="345" t="str">
        <f>IF($R88="","",MCAin!$R104*$R88)</f>
        <v/>
      </c>
      <c r="AM88" s="347" t="str">
        <f>IF($S88="","",MCAin!$S104*$S88)</f>
        <v/>
      </c>
      <c r="AN88" s="463" t="str">
        <f>IF($N88="","",MCAin!$U104*$N88)</f>
        <v/>
      </c>
      <c r="AO88" s="345" t="str">
        <f>IF($O88="","",MCAin!$U104*$O88)</f>
        <v/>
      </c>
      <c r="AP88" s="345" t="str">
        <f>IF($P88="","",MCAin!$U104*$P88)</f>
        <v/>
      </c>
      <c r="AQ88" s="345" t="str">
        <f>IF($Q88="","",MCAin!$U104*$Q88)</f>
        <v/>
      </c>
      <c r="AR88" s="345" t="str">
        <f>IF($R88="","",MCAin!$U104*$R88)</f>
        <v/>
      </c>
      <c r="AS88" s="347" t="str">
        <f>IF($S88="","",MCAin!$U104*$S88)</f>
        <v/>
      </c>
      <c r="AT88" s="463" t="str">
        <f>IF($N88="","",MCAin!$V104*$N88)</f>
        <v/>
      </c>
      <c r="AU88" s="345" t="str">
        <f>IF($O88="","",MCAin!$V104*$O88)</f>
        <v/>
      </c>
      <c r="AV88" s="345" t="str">
        <f>IF($P88="","",MCAin!$V104*$P88)</f>
        <v/>
      </c>
      <c r="AW88" s="345" t="str">
        <f>IF($Q88="","",MCAin!$V104*$Q88)</f>
        <v/>
      </c>
      <c r="AX88" s="345" t="str">
        <f>IF($R88="","",MCAin!$V104*$R88)</f>
        <v/>
      </c>
      <c r="AY88" s="347" t="str">
        <f>IF($S88="","",MCAin!$V104*$S88)</f>
        <v/>
      </c>
      <c r="AZ88" s="463" t="str">
        <f>IF($N88="","",MCAin!$W104*$N88)</f>
        <v/>
      </c>
      <c r="BA88" s="345" t="str">
        <f>IF($O88="","",MCAin!$W104*$O88)</f>
        <v/>
      </c>
      <c r="BB88" s="345" t="str">
        <f>IF($P88="","",MCAin!$W104*$P88)</f>
        <v/>
      </c>
      <c r="BC88" s="345" t="str">
        <f>IF($Q88="","",MCAin!$W104*$Q88)</f>
        <v/>
      </c>
      <c r="BD88" s="345" t="str">
        <f>IF($R88="","",MCAin!$W104*$R88)</f>
        <v/>
      </c>
      <c r="BE88" s="347" t="str">
        <f>IF($S88="","",MCAin!$W104*$S88)</f>
        <v/>
      </c>
      <c r="BF88" s="463" t="str">
        <f>IF($N88="","",MCAin!$X104*$N88)</f>
        <v/>
      </c>
      <c r="BG88" s="345" t="str">
        <f>IF($O88="","",MCAin!$X104*$O88)</f>
        <v/>
      </c>
      <c r="BH88" s="345" t="str">
        <f>IF($P88="","",MCAin!$X104*$P88)</f>
        <v/>
      </c>
      <c r="BI88" s="345" t="str">
        <f>IF($Q88="","",MCAin!$X104*$Q88)</f>
        <v/>
      </c>
      <c r="BJ88" s="345" t="str">
        <f>IF($R88="","",MCAin!$X104*$R88)</f>
        <v/>
      </c>
      <c r="BK88" s="347" t="str">
        <f>IF($S88="","",MCAin!$X104*$S88)</f>
        <v/>
      </c>
      <c r="BL88" s="463" t="str">
        <f>IF($N88="","",MCAin!$Y104*$N88)</f>
        <v/>
      </c>
      <c r="BM88" s="345" t="str">
        <f>IF($O88="","",MCAin!$Y104*$O88)</f>
        <v/>
      </c>
      <c r="BN88" s="345" t="str">
        <f>IF($P88="","",MCAin!$Y104*$P88)</f>
        <v/>
      </c>
      <c r="BO88" s="345" t="str">
        <f>IF($Q88="","",MCAin!$Y104*$Q88)</f>
        <v/>
      </c>
      <c r="BP88" s="345" t="str">
        <f>IF($R88="","",MCAin!$Y104*$R88)</f>
        <v/>
      </c>
      <c r="BQ88" s="347" t="str">
        <f>IF($S88="","",MCAin!$Y104*$S88)</f>
        <v/>
      </c>
      <c r="BR88" s="315"/>
      <c r="BS88" s="315"/>
      <c r="BT88" s="315"/>
      <c r="BU88" s="315"/>
      <c r="BV88" s="315"/>
      <c r="BW88" s="315"/>
      <c r="BX88" s="315"/>
      <c r="BY88" s="315"/>
      <c r="BZ88" s="315"/>
    </row>
    <row r="89" spans="1:78" ht="15" customHeight="1">
      <c r="A89" s="314"/>
      <c r="B89" s="110" t="str">
        <f>PTAout!D125</f>
        <v>Number of activities</v>
      </c>
      <c r="C89" s="316"/>
      <c r="D89" s="327" t="str">
        <f>PTAout!H125</f>
        <v/>
      </c>
      <c r="E89" s="327" t="str">
        <f>PTAout!L125</f>
        <v/>
      </c>
      <c r="F89" s="327" t="str">
        <f>PTAout!Q125</f>
        <v/>
      </c>
      <c r="G89" s="327" t="str">
        <f>PTAout!V125</f>
        <v/>
      </c>
      <c r="H89" s="327" t="str">
        <f>PTAout!AA125</f>
        <v/>
      </c>
      <c r="I89" s="327" t="str">
        <f>PTAout!AF125</f>
        <v/>
      </c>
      <c r="J89" s="487" t="str">
        <f>IF(MCAin!O105="","",MCAin!O105)</f>
        <v/>
      </c>
      <c r="K89" s="487" t="str">
        <f>IF(MCAin!P105="","",MCAin!P105)</f>
        <v/>
      </c>
      <c r="L89" s="314"/>
      <c r="M89" s="534" t="str">
        <f>IF(AND(COUNTIF(D89:I89,"&gt;=0")=$D$1,J89&gt;=0,K89&gt;=0,MCAin!$Q105=""),1,"")</f>
        <v/>
      </c>
      <c r="N89" s="343" t="str">
        <f t="shared" si="12"/>
        <v/>
      </c>
      <c r="O89" s="343" t="str">
        <f t="shared" si="12"/>
        <v/>
      </c>
      <c r="P89" s="343" t="str">
        <f t="shared" si="12"/>
        <v/>
      </c>
      <c r="Q89" s="343" t="str">
        <f t="shared" si="12"/>
        <v/>
      </c>
      <c r="R89" s="343" t="str">
        <f t="shared" si="12"/>
        <v/>
      </c>
      <c r="S89" s="343" t="str">
        <f t="shared" si="12"/>
        <v/>
      </c>
      <c r="T89" s="343"/>
      <c r="U89" s="344"/>
      <c r="V89" s="463" t="str">
        <f>IF($N89="","",MCAin!$R105*$N89)</f>
        <v/>
      </c>
      <c r="W89" s="345" t="str">
        <f>IF($O89="","",MCAin!$R105*$O89)</f>
        <v/>
      </c>
      <c r="X89" s="345" t="str">
        <f>IF($P89="","",MCAin!$R105*$P89)</f>
        <v/>
      </c>
      <c r="Y89" s="345" t="str">
        <f>IF($Q89="","",MCAin!$R105*$Q89)</f>
        <v/>
      </c>
      <c r="Z89" s="345" t="str">
        <f>IF($R89="","",MCAin!$R105*$R89)</f>
        <v/>
      </c>
      <c r="AA89" s="347" t="str">
        <f>IF($S89="","",MCAin!$R105*$S89)</f>
        <v/>
      </c>
      <c r="AB89" s="463" t="str">
        <f>IF($N89="","",MCAin!$S105*$N89)</f>
        <v/>
      </c>
      <c r="AC89" s="345" t="str">
        <f>IF($O89="","",MCAin!$S105*$O89)</f>
        <v/>
      </c>
      <c r="AD89" s="345" t="str">
        <f>IF($P89="","",MCAin!$S105*$P89)</f>
        <v/>
      </c>
      <c r="AE89" s="345" t="str">
        <f>IF($Q89="","",MCAin!$R105*$Q89)</f>
        <v/>
      </c>
      <c r="AF89" s="345" t="str">
        <f>IF($R89="","",MCAin!$R105*$R89)</f>
        <v/>
      </c>
      <c r="AG89" s="347" t="str">
        <f>IF($S89="","",MCAin!$S105*$S89)</f>
        <v/>
      </c>
      <c r="AH89" s="463" t="str">
        <f>IF($N89="","",MCAin!$T105*$N89)</f>
        <v/>
      </c>
      <c r="AI89" s="345" t="str">
        <f>IF($O89="","",MCAin!$T105*$O89)</f>
        <v/>
      </c>
      <c r="AJ89" s="345" t="str">
        <f>IF($P89="","",MCAin!$T105*$P89)</f>
        <v/>
      </c>
      <c r="AK89" s="345" t="str">
        <f>IF($Q89="","",MCAin!$T105*$Q89)</f>
        <v/>
      </c>
      <c r="AL89" s="345" t="str">
        <f>IF($R89="","",MCAin!$R105*$R89)</f>
        <v/>
      </c>
      <c r="AM89" s="347" t="str">
        <f>IF($S89="","",MCAin!$S105*$S89)</f>
        <v/>
      </c>
      <c r="AN89" s="463" t="str">
        <f>IF($N89="","",MCAin!$U105*$N89)</f>
        <v/>
      </c>
      <c r="AO89" s="345" t="str">
        <f>IF($O89="","",MCAin!$U105*$O89)</f>
        <v/>
      </c>
      <c r="AP89" s="345" t="str">
        <f>IF($P89="","",MCAin!$U105*$P89)</f>
        <v/>
      </c>
      <c r="AQ89" s="345" t="str">
        <f>IF($Q89="","",MCAin!$U105*$Q89)</f>
        <v/>
      </c>
      <c r="AR89" s="345" t="str">
        <f>IF($R89="","",MCAin!$U105*$R89)</f>
        <v/>
      </c>
      <c r="AS89" s="347" t="str">
        <f>IF($S89="","",MCAin!$U105*$S89)</f>
        <v/>
      </c>
      <c r="AT89" s="463" t="str">
        <f>IF($N89="","",MCAin!$V105*$N89)</f>
        <v/>
      </c>
      <c r="AU89" s="345" t="str">
        <f>IF($O89="","",MCAin!$V105*$O89)</f>
        <v/>
      </c>
      <c r="AV89" s="345" t="str">
        <f>IF($P89="","",MCAin!$V105*$P89)</f>
        <v/>
      </c>
      <c r="AW89" s="345" t="str">
        <f>IF($Q89="","",MCAin!$V105*$Q89)</f>
        <v/>
      </c>
      <c r="AX89" s="345" t="str">
        <f>IF($R89="","",MCAin!$V105*$R89)</f>
        <v/>
      </c>
      <c r="AY89" s="347" t="str">
        <f>IF($S89="","",MCAin!$V105*$S89)</f>
        <v/>
      </c>
      <c r="AZ89" s="463" t="str">
        <f>IF($N89="","",MCAin!$W105*$N89)</f>
        <v/>
      </c>
      <c r="BA89" s="345" t="str">
        <f>IF($O89="","",MCAin!$W105*$O89)</f>
        <v/>
      </c>
      <c r="BB89" s="345" t="str">
        <f>IF($P89="","",MCAin!$W105*$P89)</f>
        <v/>
      </c>
      <c r="BC89" s="345" t="str">
        <f>IF($Q89="","",MCAin!$W105*$Q89)</f>
        <v/>
      </c>
      <c r="BD89" s="345" t="str">
        <f>IF($R89="","",MCAin!$W105*$R89)</f>
        <v/>
      </c>
      <c r="BE89" s="347" t="str">
        <f>IF($S89="","",MCAin!$W105*$S89)</f>
        <v/>
      </c>
      <c r="BF89" s="463" t="str">
        <f>IF($N89="","",MCAin!$X105*$N89)</f>
        <v/>
      </c>
      <c r="BG89" s="345" t="str">
        <f>IF($O89="","",MCAin!$X105*$O89)</f>
        <v/>
      </c>
      <c r="BH89" s="345" t="str">
        <f>IF($P89="","",MCAin!$X105*$P89)</f>
        <v/>
      </c>
      <c r="BI89" s="345" t="str">
        <f>IF($Q89="","",MCAin!$X105*$Q89)</f>
        <v/>
      </c>
      <c r="BJ89" s="345" t="str">
        <f>IF($R89="","",MCAin!$X105*$R89)</f>
        <v/>
      </c>
      <c r="BK89" s="347" t="str">
        <f>IF($S89="","",MCAin!$X105*$S89)</f>
        <v/>
      </c>
      <c r="BL89" s="463" t="str">
        <f>IF($N89="","",MCAin!$Y105*$N89)</f>
        <v/>
      </c>
      <c r="BM89" s="345" t="str">
        <f>IF($O89="","",MCAin!$Y105*$O89)</f>
        <v/>
      </c>
      <c r="BN89" s="345" t="str">
        <f>IF($P89="","",MCAin!$Y105*$P89)</f>
        <v/>
      </c>
      <c r="BO89" s="345" t="str">
        <f>IF($Q89="","",MCAin!$Y105*$Q89)</f>
        <v/>
      </c>
      <c r="BP89" s="345" t="str">
        <f>IF($R89="","",MCAin!$Y105*$R89)</f>
        <v/>
      </c>
      <c r="BQ89" s="347" t="str">
        <f>IF($S89="","",MCAin!$Y105*$S89)</f>
        <v/>
      </c>
      <c r="BR89" s="315"/>
      <c r="BS89" s="315"/>
      <c r="BT89" s="315"/>
      <c r="BU89" s="315"/>
      <c r="BV89" s="315"/>
      <c r="BW89" s="315"/>
      <c r="BX89" s="315"/>
      <c r="BY89" s="315"/>
      <c r="BZ89" s="315"/>
    </row>
    <row r="90" spans="1:78" ht="15" customHeight="1">
      <c r="A90" s="314"/>
      <c r="B90" s="110" t="str">
        <f>PTAout!D126</f>
        <v>Duration</v>
      </c>
      <c r="C90" s="316"/>
      <c r="D90" s="318" t="str">
        <f>PTAout!H126</f>
        <v/>
      </c>
      <c r="E90" s="318" t="str">
        <f>PTAout!L126</f>
        <v/>
      </c>
      <c r="F90" s="318" t="str">
        <f>PTAout!Q126</f>
        <v/>
      </c>
      <c r="G90" s="318" t="str">
        <f>PTAout!V126</f>
        <v/>
      </c>
      <c r="H90" s="318" t="str">
        <f>PTAout!AA126</f>
        <v/>
      </c>
      <c r="I90" s="318" t="str">
        <f>PTAout!AF126</f>
        <v/>
      </c>
      <c r="J90" s="487" t="str">
        <f>IF(MCAin!O106="","",MCAin!O106)</f>
        <v/>
      </c>
      <c r="K90" s="487" t="str">
        <f>IF(MCAin!P106="","",MCAin!P106)</f>
        <v/>
      </c>
      <c r="L90" s="314"/>
      <c r="M90" s="534" t="str">
        <f>IF(AND(COUNTIF(D90:I90,"&gt;=0")=$D$1,J90&gt;=0,K90&gt;=0,MCAin!$Q106=""),1,"")</f>
        <v/>
      </c>
      <c r="N90" s="343" t="str">
        <f t="shared" si="12"/>
        <v/>
      </c>
      <c r="O90" s="343" t="str">
        <f t="shared" si="12"/>
        <v/>
      </c>
      <c r="P90" s="343" t="str">
        <f t="shared" si="12"/>
        <v/>
      </c>
      <c r="Q90" s="343" t="str">
        <f t="shared" si="12"/>
        <v/>
      </c>
      <c r="R90" s="343" t="str">
        <f t="shared" si="12"/>
        <v/>
      </c>
      <c r="S90" s="343" t="str">
        <f t="shared" si="12"/>
        <v/>
      </c>
      <c r="T90" s="343"/>
      <c r="U90" s="344"/>
      <c r="V90" s="463" t="str">
        <f>IF($N90="","",MCAin!$R106*$N90)</f>
        <v/>
      </c>
      <c r="W90" s="345" t="str">
        <f>IF($O90="","",MCAin!$R106*$O90)</f>
        <v/>
      </c>
      <c r="X90" s="345" t="str">
        <f>IF($P90="","",MCAin!$R106*$P90)</f>
        <v/>
      </c>
      <c r="Y90" s="345" t="str">
        <f>IF($Q90="","",MCAin!$R106*$Q90)</f>
        <v/>
      </c>
      <c r="Z90" s="345" t="str">
        <f>IF($R90="","",MCAin!$R106*$R90)</f>
        <v/>
      </c>
      <c r="AA90" s="347" t="str">
        <f>IF($S90="","",MCAin!$R106*$S90)</f>
        <v/>
      </c>
      <c r="AB90" s="463" t="str">
        <f>IF($N90="","",MCAin!$S106*$N90)</f>
        <v/>
      </c>
      <c r="AC90" s="345" t="str">
        <f>IF($O90="","",MCAin!$S106*$O90)</f>
        <v/>
      </c>
      <c r="AD90" s="345" t="str">
        <f>IF($P90="","",MCAin!$S106*$P90)</f>
        <v/>
      </c>
      <c r="AE90" s="345" t="str">
        <f>IF($Q90="","",MCAin!$R106*$Q90)</f>
        <v/>
      </c>
      <c r="AF90" s="345" t="str">
        <f>IF($R90="","",MCAin!$R106*$R90)</f>
        <v/>
      </c>
      <c r="AG90" s="347" t="str">
        <f>IF($S90="","",MCAin!$S106*$S90)</f>
        <v/>
      </c>
      <c r="AH90" s="463" t="str">
        <f>IF($N90="","",MCAin!$T106*$N90)</f>
        <v/>
      </c>
      <c r="AI90" s="345" t="str">
        <f>IF($O90="","",MCAin!$T106*$O90)</f>
        <v/>
      </c>
      <c r="AJ90" s="345" t="str">
        <f>IF($P90="","",MCAin!$T106*$P90)</f>
        <v/>
      </c>
      <c r="AK90" s="345" t="str">
        <f>IF($Q90="","",MCAin!$T106*$Q90)</f>
        <v/>
      </c>
      <c r="AL90" s="345" t="str">
        <f>IF($R90="","",MCAin!$R106*$R90)</f>
        <v/>
      </c>
      <c r="AM90" s="347" t="str">
        <f>IF($S90="","",MCAin!$S106*$S90)</f>
        <v/>
      </c>
      <c r="AN90" s="463" t="str">
        <f>IF($N90="","",MCAin!$U106*$N90)</f>
        <v/>
      </c>
      <c r="AO90" s="345" t="str">
        <f>IF($O90="","",MCAin!$U106*$O90)</f>
        <v/>
      </c>
      <c r="AP90" s="345" t="str">
        <f>IF($P90="","",MCAin!$U106*$P90)</f>
        <v/>
      </c>
      <c r="AQ90" s="345" t="str">
        <f>IF($Q90="","",MCAin!$U106*$Q90)</f>
        <v/>
      </c>
      <c r="AR90" s="345" t="str">
        <f>IF($R90="","",MCAin!$U106*$R90)</f>
        <v/>
      </c>
      <c r="AS90" s="347" t="str">
        <f>IF($S90="","",MCAin!$U106*$S90)</f>
        <v/>
      </c>
      <c r="AT90" s="463" t="str">
        <f>IF($N90="","",MCAin!$V106*$N90)</f>
        <v/>
      </c>
      <c r="AU90" s="345" t="str">
        <f>IF($O90="","",MCAin!$V106*$O90)</f>
        <v/>
      </c>
      <c r="AV90" s="345" t="str">
        <f>IF($P90="","",MCAin!$V106*$P90)</f>
        <v/>
      </c>
      <c r="AW90" s="345" t="str">
        <f>IF($Q90="","",MCAin!$V106*$Q90)</f>
        <v/>
      </c>
      <c r="AX90" s="345" t="str">
        <f>IF($R90="","",MCAin!$V106*$R90)</f>
        <v/>
      </c>
      <c r="AY90" s="347" t="str">
        <f>IF($S90="","",MCAin!$V106*$S90)</f>
        <v/>
      </c>
      <c r="AZ90" s="463" t="str">
        <f>IF($N90="","",MCAin!$W106*$N90)</f>
        <v/>
      </c>
      <c r="BA90" s="345" t="str">
        <f>IF($O90="","",MCAin!$W106*$O90)</f>
        <v/>
      </c>
      <c r="BB90" s="345" t="str">
        <f>IF($P90="","",MCAin!$W106*$P90)</f>
        <v/>
      </c>
      <c r="BC90" s="345" t="str">
        <f>IF($Q90="","",MCAin!$W106*$Q90)</f>
        <v/>
      </c>
      <c r="BD90" s="345" t="str">
        <f>IF($R90="","",MCAin!$W106*$R90)</f>
        <v/>
      </c>
      <c r="BE90" s="347" t="str">
        <f>IF($S90="","",MCAin!$W106*$S90)</f>
        <v/>
      </c>
      <c r="BF90" s="463" t="str">
        <f>IF($N90="","",MCAin!$X106*$N90)</f>
        <v/>
      </c>
      <c r="BG90" s="345" t="str">
        <f>IF($O90="","",MCAin!$X106*$O90)</f>
        <v/>
      </c>
      <c r="BH90" s="345" t="str">
        <f>IF($P90="","",MCAin!$X106*$P90)</f>
        <v/>
      </c>
      <c r="BI90" s="345" t="str">
        <f>IF($Q90="","",MCAin!$X106*$Q90)</f>
        <v/>
      </c>
      <c r="BJ90" s="345" t="str">
        <f>IF($R90="","",MCAin!$X106*$R90)</f>
        <v/>
      </c>
      <c r="BK90" s="347" t="str">
        <f>IF($S90="","",MCAin!$X106*$S90)</f>
        <v/>
      </c>
      <c r="BL90" s="463" t="str">
        <f>IF($N90="","",MCAin!$Y106*$N90)</f>
        <v/>
      </c>
      <c r="BM90" s="345" t="str">
        <f>IF($O90="","",MCAin!$Y106*$O90)</f>
        <v/>
      </c>
      <c r="BN90" s="345" t="str">
        <f>IF($P90="","",MCAin!$Y106*$P90)</f>
        <v/>
      </c>
      <c r="BO90" s="345" t="str">
        <f>IF($Q90="","",MCAin!$Y106*$Q90)</f>
        <v/>
      </c>
      <c r="BP90" s="345" t="str">
        <f>IF($R90="","",MCAin!$Y106*$R90)</f>
        <v/>
      </c>
      <c r="BQ90" s="347" t="str">
        <f>IF($S90="","",MCAin!$Y106*$S90)</f>
        <v/>
      </c>
      <c r="BR90" s="315"/>
      <c r="BS90" s="315"/>
      <c r="BT90" s="315"/>
      <c r="BU90" s="315"/>
      <c r="BV90" s="315"/>
      <c r="BW90" s="315"/>
      <c r="BX90" s="315"/>
      <c r="BY90" s="315"/>
      <c r="BZ90" s="315"/>
    </row>
    <row r="91" spans="1:78" ht="15" customHeight="1">
      <c r="A91" s="320"/>
      <c r="B91" s="118" t="str">
        <f>PTAout!D127</f>
        <v>Quality</v>
      </c>
      <c r="C91" s="321"/>
      <c r="D91" s="328" t="str">
        <f>PTAout!H127</f>
        <v/>
      </c>
      <c r="E91" s="328" t="str">
        <f>PTAout!L127</f>
        <v/>
      </c>
      <c r="F91" s="328" t="str">
        <f>PTAout!Q127</f>
        <v/>
      </c>
      <c r="G91" s="328" t="str">
        <f>PTAout!V127</f>
        <v/>
      </c>
      <c r="H91" s="328" t="str">
        <f>PTAout!AA127</f>
        <v/>
      </c>
      <c r="I91" s="328" t="str">
        <f>PTAout!AF127</f>
        <v/>
      </c>
      <c r="J91" s="489" t="str">
        <f>IF(MCAin!O107="","",MCAin!O107)</f>
        <v/>
      </c>
      <c r="K91" s="489" t="str">
        <f>IF(MCAin!P107="","",MCAin!P107)</f>
        <v/>
      </c>
      <c r="L91" s="314"/>
      <c r="M91" s="534" t="str">
        <f>IF(AND(COUNTIF(D91:I91,"&gt;=0")=$D$1,J91&gt;=0,K91&gt;=0,MCAin!$Q107=""),1,"")</f>
        <v/>
      </c>
      <c r="N91" s="492" t="str">
        <f t="shared" si="12"/>
        <v/>
      </c>
      <c r="O91" s="492" t="str">
        <f t="shared" si="12"/>
        <v/>
      </c>
      <c r="P91" s="492" t="str">
        <f t="shared" si="12"/>
        <v/>
      </c>
      <c r="Q91" s="492" t="str">
        <f t="shared" si="12"/>
        <v/>
      </c>
      <c r="R91" s="492" t="str">
        <f t="shared" si="12"/>
        <v/>
      </c>
      <c r="S91" s="492" t="str">
        <f t="shared" si="12"/>
        <v/>
      </c>
      <c r="T91" s="343"/>
      <c r="U91" s="344"/>
      <c r="V91" s="495" t="str">
        <f>IF($N91="","",MCAin!$R107*$N91)</f>
        <v/>
      </c>
      <c r="W91" s="496" t="str">
        <f>IF($O91="","",MCAin!$R107*$O91)</f>
        <v/>
      </c>
      <c r="X91" s="496" t="str">
        <f>IF($P91="","",MCAin!$R107*$P91)</f>
        <v/>
      </c>
      <c r="Y91" s="496" t="str">
        <f>IF($Q91="","",MCAin!$R107*$Q91)</f>
        <v/>
      </c>
      <c r="Z91" s="496" t="str">
        <f>IF($R91="","",MCAin!$R107*$R91)</f>
        <v/>
      </c>
      <c r="AA91" s="497" t="str">
        <f>IF($S91="","",MCAin!$R107*$S91)</f>
        <v/>
      </c>
      <c r="AB91" s="495" t="str">
        <f>IF($N91="","",MCAin!$S107*$N91)</f>
        <v/>
      </c>
      <c r="AC91" s="496" t="str">
        <f>IF($O91="","",MCAin!$S107*$O91)</f>
        <v/>
      </c>
      <c r="AD91" s="496" t="str">
        <f>IF($P91="","",MCAin!$S107*$P91)</f>
        <v/>
      </c>
      <c r="AE91" s="496" t="str">
        <f>IF($Q91="","",MCAin!$R107*$Q91)</f>
        <v/>
      </c>
      <c r="AF91" s="496" t="str">
        <f>IF($R91="","",MCAin!$R107*$R91)</f>
        <v/>
      </c>
      <c r="AG91" s="497" t="str">
        <f>IF($S91="","",MCAin!$S107*$S91)</f>
        <v/>
      </c>
      <c r="AH91" s="495" t="str">
        <f>IF($N91="","",MCAin!$T107*$N91)</f>
        <v/>
      </c>
      <c r="AI91" s="496" t="str">
        <f>IF($O91="","",MCAin!$T107*$O91)</f>
        <v/>
      </c>
      <c r="AJ91" s="496" t="str">
        <f>IF($P91="","",MCAin!$T107*$P91)</f>
        <v/>
      </c>
      <c r="AK91" s="496" t="str">
        <f>IF($Q91="","",MCAin!$T107*$Q91)</f>
        <v/>
      </c>
      <c r="AL91" s="496" t="str">
        <f>IF($R91="","",MCAin!$R107*$R91)</f>
        <v/>
      </c>
      <c r="AM91" s="497" t="str">
        <f>IF($S91="","",MCAin!$S107*$S91)</f>
        <v/>
      </c>
      <c r="AN91" s="495" t="str">
        <f>IF($N91="","",MCAin!$U107*$N91)</f>
        <v/>
      </c>
      <c r="AO91" s="496" t="str">
        <f>IF($O91="","",MCAin!$U107*$O91)</f>
        <v/>
      </c>
      <c r="AP91" s="496" t="str">
        <f>IF($P91="","",MCAin!$U107*$P91)</f>
        <v/>
      </c>
      <c r="AQ91" s="496" t="str">
        <f>IF($Q91="","",MCAin!$U107*$Q91)</f>
        <v/>
      </c>
      <c r="AR91" s="496" t="str">
        <f>IF($R91="","",MCAin!$U107*$R91)</f>
        <v/>
      </c>
      <c r="AS91" s="497" t="str">
        <f>IF($S91="","",MCAin!$U107*$S91)</f>
        <v/>
      </c>
      <c r="AT91" s="495" t="str">
        <f>IF($N91="","",MCAin!$V107*$N91)</f>
        <v/>
      </c>
      <c r="AU91" s="496" t="str">
        <f>IF($O91="","",MCAin!$V107*$O91)</f>
        <v/>
      </c>
      <c r="AV91" s="496" t="str">
        <f>IF($P91="","",MCAin!$V107*$P91)</f>
        <v/>
      </c>
      <c r="AW91" s="496" t="str">
        <f>IF($Q91="","",MCAin!$V107*$Q91)</f>
        <v/>
      </c>
      <c r="AX91" s="496" t="str">
        <f>IF($R91="","",MCAin!$V107*$R91)</f>
        <v/>
      </c>
      <c r="AY91" s="497" t="str">
        <f>IF($S91="","",MCAin!$V107*$S91)</f>
        <v/>
      </c>
      <c r="AZ91" s="495" t="str">
        <f>IF($N91="","",MCAin!$W107*$N91)</f>
        <v/>
      </c>
      <c r="BA91" s="496" t="str">
        <f>IF($O91="","",MCAin!$W107*$O91)</f>
        <v/>
      </c>
      <c r="BB91" s="496" t="str">
        <f>IF($P91="","",MCAin!$W107*$P91)</f>
        <v/>
      </c>
      <c r="BC91" s="496" t="str">
        <f>IF($Q91="","",MCAin!$W107*$Q91)</f>
        <v/>
      </c>
      <c r="BD91" s="496" t="str">
        <f>IF($R91="","",MCAin!$W107*$R91)</f>
        <v/>
      </c>
      <c r="BE91" s="497" t="str">
        <f>IF($S91="","",MCAin!$W107*$S91)</f>
        <v/>
      </c>
      <c r="BF91" s="495" t="str">
        <f>IF($N91="","",MCAin!$X107*$N91)</f>
        <v/>
      </c>
      <c r="BG91" s="496" t="str">
        <f>IF($O91="","",MCAin!$X107*$O91)</f>
        <v/>
      </c>
      <c r="BH91" s="496" t="str">
        <f>IF($P91="","",MCAin!$X107*$P91)</f>
        <v/>
      </c>
      <c r="BI91" s="496" t="str">
        <f>IF($Q91="","",MCAin!$X107*$Q91)</f>
        <v/>
      </c>
      <c r="BJ91" s="496" t="str">
        <f>IF($R91="","",MCAin!$X107*$R91)</f>
        <v/>
      </c>
      <c r="BK91" s="497" t="str">
        <f>IF($S91="","",MCAin!$X107*$S91)</f>
        <v/>
      </c>
      <c r="BL91" s="495" t="str">
        <f>IF($N91="","",MCAin!$Y107*$N91)</f>
        <v/>
      </c>
      <c r="BM91" s="496" t="str">
        <f>IF($O91="","",MCAin!$Y107*$O91)</f>
        <v/>
      </c>
      <c r="BN91" s="496" t="str">
        <f>IF($P91="","",MCAin!$Y107*$P91)</f>
        <v/>
      </c>
      <c r="BO91" s="496" t="str">
        <f>IF($Q91="","",MCAin!$Y107*$Q91)</f>
        <v/>
      </c>
      <c r="BP91" s="496" t="str">
        <f>IF($R91="","",MCAin!$Y107*$R91)</f>
        <v/>
      </c>
      <c r="BQ91" s="497" t="str">
        <f>IF($S91="","",MCAin!$Y107*$S91)</f>
        <v/>
      </c>
      <c r="BR91" s="315"/>
      <c r="BS91" s="315"/>
      <c r="BT91" s="315"/>
      <c r="BU91" s="315"/>
      <c r="BV91" s="315"/>
      <c r="BW91" s="315"/>
      <c r="BX91" s="315"/>
      <c r="BY91" s="315"/>
      <c r="BZ91" s="315"/>
    </row>
    <row r="92" spans="1:78" ht="15" customHeight="1">
      <c r="A92" s="510" t="str">
        <f>PTAout!C128</f>
        <v>Car share</v>
      </c>
      <c r="B92" s="511"/>
      <c r="C92" s="500"/>
      <c r="D92" s="515"/>
      <c r="E92" s="515"/>
      <c r="F92" s="515"/>
      <c r="G92" s="515"/>
      <c r="H92" s="515"/>
      <c r="I92" s="515"/>
      <c r="J92" s="502"/>
      <c r="K92" s="502"/>
      <c r="L92" s="503"/>
      <c r="M92" s="504"/>
      <c r="N92" s="504"/>
      <c r="O92" s="504"/>
      <c r="P92" s="504"/>
      <c r="Q92" s="504"/>
      <c r="R92" s="504"/>
      <c r="S92" s="504"/>
      <c r="T92" s="504"/>
      <c r="U92" s="504"/>
      <c r="V92" s="507"/>
      <c r="W92" s="508"/>
      <c r="X92" s="508"/>
      <c r="Y92" s="508"/>
      <c r="Z92" s="508"/>
      <c r="AA92" s="509"/>
      <c r="AB92" s="507"/>
      <c r="AC92" s="508"/>
      <c r="AD92" s="508"/>
      <c r="AE92" s="508"/>
      <c r="AF92" s="508"/>
      <c r="AG92" s="509"/>
      <c r="AH92" s="507"/>
      <c r="AI92" s="508"/>
      <c r="AJ92" s="508"/>
      <c r="AK92" s="508"/>
      <c r="AL92" s="508"/>
      <c r="AM92" s="509"/>
      <c r="AN92" s="507"/>
      <c r="AO92" s="508"/>
      <c r="AP92" s="508"/>
      <c r="AQ92" s="508"/>
      <c r="AR92" s="508"/>
      <c r="AS92" s="509"/>
      <c r="AT92" s="507"/>
      <c r="AU92" s="508"/>
      <c r="AV92" s="508"/>
      <c r="AW92" s="508"/>
      <c r="AX92" s="508"/>
      <c r="AY92" s="509"/>
      <c r="AZ92" s="507"/>
      <c r="BA92" s="508"/>
      <c r="BB92" s="508"/>
      <c r="BC92" s="508"/>
      <c r="BD92" s="508"/>
      <c r="BE92" s="509"/>
      <c r="BF92" s="507"/>
      <c r="BG92" s="508"/>
      <c r="BH92" s="508"/>
      <c r="BI92" s="508"/>
      <c r="BJ92" s="508"/>
      <c r="BK92" s="509"/>
      <c r="BL92" s="507"/>
      <c r="BM92" s="508"/>
      <c r="BN92" s="508"/>
      <c r="BO92" s="508"/>
      <c r="BP92" s="508"/>
      <c r="BQ92" s="509"/>
      <c r="BR92" s="315"/>
      <c r="BS92" s="315"/>
      <c r="BT92" s="315"/>
      <c r="BU92" s="315"/>
      <c r="BV92" s="315"/>
      <c r="BW92" s="315"/>
      <c r="BX92" s="315"/>
      <c r="BY92" s="315"/>
      <c r="BZ92" s="315"/>
    </row>
    <row r="93" spans="1:78" ht="15" customHeight="1">
      <c r="A93" s="314"/>
      <c r="B93" s="110" t="str">
        <f>PTAout!D129</f>
        <v>Space</v>
      </c>
      <c r="C93" s="316"/>
      <c r="D93" s="318" t="str">
        <f>PTAout!H129</f>
        <v/>
      </c>
      <c r="E93" s="318" t="str">
        <f>PTAout!L129</f>
        <v/>
      </c>
      <c r="F93" s="318" t="str">
        <f>PTAout!Q129</f>
        <v/>
      </c>
      <c r="G93" s="318" t="str">
        <f>PTAout!V129</f>
        <v/>
      </c>
      <c r="H93" s="318" t="str">
        <f>PTAout!AA129</f>
        <v/>
      </c>
      <c r="I93" s="318" t="str">
        <f>PTAout!AF129</f>
        <v/>
      </c>
      <c r="J93" s="484">
        <f>IF(MCAin!O109="","",MCAin!O109)</f>
        <v>0</v>
      </c>
      <c r="K93" s="484">
        <f>IF(MCAin!P109="","",MCAin!P109)</f>
        <v>4</v>
      </c>
      <c r="L93" s="314"/>
      <c r="M93" s="534" t="str">
        <f>IF(AND(COUNTIF(D93:I93,"&gt;=0")=$D$1,J93&gt;=0,K93&gt;=0,MCAin!$Q109=""),1,"")</f>
        <v/>
      </c>
      <c r="N93" s="343" t="str">
        <f t="shared" ref="N93:S96" si="13">IF(OR($M93&lt;&gt;1,D93=""),"",(D93-$J93)/($K93-$J93))</f>
        <v/>
      </c>
      <c r="O93" s="343" t="str">
        <f t="shared" si="13"/>
        <v/>
      </c>
      <c r="P93" s="343" t="str">
        <f t="shared" si="13"/>
        <v/>
      </c>
      <c r="Q93" s="343" t="str">
        <f t="shared" si="13"/>
        <v/>
      </c>
      <c r="R93" s="343" t="str">
        <f t="shared" si="13"/>
        <v/>
      </c>
      <c r="S93" s="343" t="str">
        <f t="shared" si="13"/>
        <v/>
      </c>
      <c r="T93" s="343"/>
      <c r="U93" s="344"/>
      <c r="V93" s="463" t="str">
        <f>IF($N93="","",MCAin!$R109*$N93)</f>
        <v/>
      </c>
      <c r="W93" s="345" t="str">
        <f>IF($O93="","",MCAin!$R109*$O93)</f>
        <v/>
      </c>
      <c r="X93" s="345" t="str">
        <f>IF($P93="","",MCAin!$R109*$P93)</f>
        <v/>
      </c>
      <c r="Y93" s="345" t="str">
        <f>IF($Q93="","",MCAin!$R109*$Q93)</f>
        <v/>
      </c>
      <c r="Z93" s="345" t="str">
        <f>IF($R93="","",MCAin!$R109*$R93)</f>
        <v/>
      </c>
      <c r="AA93" s="347" t="str">
        <f>IF($S93="","",MCAin!$R109*$S93)</f>
        <v/>
      </c>
      <c r="AB93" s="463" t="str">
        <f>IF($N93="","",MCAin!$S109*$N93)</f>
        <v/>
      </c>
      <c r="AC93" s="345" t="str">
        <f>IF($O93="","",MCAin!$S109*$O93)</f>
        <v/>
      </c>
      <c r="AD93" s="345" t="str">
        <f>IF($P93="","",MCAin!$S109*$P93)</f>
        <v/>
      </c>
      <c r="AE93" s="345" t="str">
        <f>IF($Q93="","",MCAin!$R109*$Q93)</f>
        <v/>
      </c>
      <c r="AF93" s="345" t="str">
        <f>IF($R93="","",MCAin!$R109*$R93)</f>
        <v/>
      </c>
      <c r="AG93" s="347" t="str">
        <f>IF($S93="","",MCAin!$S109*$S93)</f>
        <v/>
      </c>
      <c r="AH93" s="463" t="str">
        <f>IF($N93="","",MCAin!$T109*$N93)</f>
        <v/>
      </c>
      <c r="AI93" s="345" t="str">
        <f>IF($O93="","",MCAin!$T109*$O93)</f>
        <v/>
      </c>
      <c r="AJ93" s="345" t="str">
        <f>IF($P93="","",MCAin!$T109*$P93)</f>
        <v/>
      </c>
      <c r="AK93" s="345" t="str">
        <f>IF($Q93="","",MCAin!$T109*$Q93)</f>
        <v/>
      </c>
      <c r="AL93" s="345" t="str">
        <f>IF($R93="","",MCAin!$R109*$R93)</f>
        <v/>
      </c>
      <c r="AM93" s="347" t="str">
        <f>IF($S93="","",MCAin!$S109*$S93)</f>
        <v/>
      </c>
      <c r="AN93" s="463" t="str">
        <f>IF($N93="","",MCAin!$U109*$N93)</f>
        <v/>
      </c>
      <c r="AO93" s="345" t="str">
        <f>IF($O93="","",MCAin!$U109*$O93)</f>
        <v/>
      </c>
      <c r="AP93" s="345" t="str">
        <f>IF($P93="","",MCAin!$U109*$P93)</f>
        <v/>
      </c>
      <c r="AQ93" s="345" t="str">
        <f>IF($Q93="","",MCAin!$U109*$Q93)</f>
        <v/>
      </c>
      <c r="AR93" s="345" t="str">
        <f>IF($R93="","",MCAin!$U109*$R93)</f>
        <v/>
      </c>
      <c r="AS93" s="347" t="str">
        <f>IF($S93="","",MCAin!$U109*$S93)</f>
        <v/>
      </c>
      <c r="AT93" s="463" t="str">
        <f>IF($N93="","",MCAin!$V109*$N93)</f>
        <v/>
      </c>
      <c r="AU93" s="345" t="str">
        <f>IF($O93="","",MCAin!$V109*$O93)</f>
        <v/>
      </c>
      <c r="AV93" s="345" t="str">
        <f>IF($P93="","",MCAin!$V109*$P93)</f>
        <v/>
      </c>
      <c r="AW93" s="345" t="str">
        <f>IF($Q93="","",MCAin!$V109*$Q93)</f>
        <v/>
      </c>
      <c r="AX93" s="345" t="str">
        <f>IF($R93="","",MCAin!$V109*$R93)</f>
        <v/>
      </c>
      <c r="AY93" s="347" t="str">
        <f>IF($S93="","",MCAin!$V109*$S93)</f>
        <v/>
      </c>
      <c r="AZ93" s="463" t="str">
        <f>IF($N93="","",MCAin!$W109*$N93)</f>
        <v/>
      </c>
      <c r="BA93" s="345" t="str">
        <f>IF($O93="","",MCAin!$W109*$O93)</f>
        <v/>
      </c>
      <c r="BB93" s="345" t="str">
        <f>IF($P93="","",MCAin!$W109*$P93)</f>
        <v/>
      </c>
      <c r="BC93" s="345" t="str">
        <f>IF($Q93="","",MCAin!$W109*$Q93)</f>
        <v/>
      </c>
      <c r="BD93" s="345" t="str">
        <f>IF($R93="","",MCAin!$W109*$R93)</f>
        <v/>
      </c>
      <c r="BE93" s="347" t="str">
        <f>IF($S93="","",MCAin!$W109*$S93)</f>
        <v/>
      </c>
      <c r="BF93" s="463" t="str">
        <f>IF($N93="","",MCAin!$X109*$N93)</f>
        <v/>
      </c>
      <c r="BG93" s="345" t="str">
        <f>IF($O93="","",MCAin!$X109*$O93)</f>
        <v/>
      </c>
      <c r="BH93" s="345" t="str">
        <f>IF($P93="","",MCAin!$X109*$P93)</f>
        <v/>
      </c>
      <c r="BI93" s="345" t="str">
        <f>IF($Q93="","",MCAin!$X109*$Q93)</f>
        <v/>
      </c>
      <c r="BJ93" s="345" t="str">
        <f>IF($R93="","",MCAin!$X109*$R93)</f>
        <v/>
      </c>
      <c r="BK93" s="347" t="str">
        <f>IF($S93="","",MCAin!$X109*$S93)</f>
        <v/>
      </c>
      <c r="BL93" s="463" t="str">
        <f>IF($N93="","",MCAin!$Y109*$N93)</f>
        <v/>
      </c>
      <c r="BM93" s="345" t="str">
        <f>IF($O93="","",MCAin!$Y109*$O93)</f>
        <v/>
      </c>
      <c r="BN93" s="345" t="str">
        <f>IF($P93="","",MCAin!$Y109*$P93)</f>
        <v/>
      </c>
      <c r="BO93" s="345" t="str">
        <f>IF($Q93="","",MCAin!$Y109*$Q93)</f>
        <v/>
      </c>
      <c r="BP93" s="345" t="str">
        <f>IF($R93="","",MCAin!$Y109*$R93)</f>
        <v/>
      </c>
      <c r="BQ93" s="347" t="str">
        <f>IF($S93="","",MCAin!$Y109*$S93)</f>
        <v/>
      </c>
      <c r="BR93" s="315"/>
      <c r="BS93" s="315"/>
      <c r="BT93" s="315"/>
      <c r="BU93" s="315"/>
      <c r="BV93" s="315"/>
      <c r="BW93" s="315"/>
      <c r="BX93" s="315"/>
      <c r="BY93" s="315"/>
      <c r="BZ93" s="315"/>
    </row>
    <row r="94" spans="1:78" ht="15" customHeight="1">
      <c r="A94" s="314"/>
      <c r="B94" s="110" t="str">
        <f>PTAout!D130</f>
        <v>Number of activities</v>
      </c>
      <c r="C94" s="316"/>
      <c r="D94" s="327" t="str">
        <f>PTAout!H130</f>
        <v/>
      </c>
      <c r="E94" s="327" t="str">
        <f>PTAout!L130</f>
        <v/>
      </c>
      <c r="F94" s="327" t="str">
        <f>PTAout!Q130</f>
        <v/>
      </c>
      <c r="G94" s="327" t="str">
        <f>PTAout!V130</f>
        <v/>
      </c>
      <c r="H94" s="327" t="str">
        <f>PTAout!AA130</f>
        <v/>
      </c>
      <c r="I94" s="327" t="str">
        <f>PTAout!AF130</f>
        <v/>
      </c>
      <c r="J94" s="487" t="str">
        <f>IF(MCAin!O110="","",MCAin!O110)</f>
        <v/>
      </c>
      <c r="K94" s="487" t="str">
        <f>IF(MCAin!P110="","",MCAin!P110)</f>
        <v/>
      </c>
      <c r="L94" s="314"/>
      <c r="M94" s="534" t="str">
        <f>IF(AND(COUNTIF(D94:I94,"&gt;=0")=$D$1,J94&gt;=0,K94&gt;=0,MCAin!$Q110=""),1,"")</f>
        <v/>
      </c>
      <c r="N94" s="343" t="str">
        <f t="shared" si="13"/>
        <v/>
      </c>
      <c r="O94" s="343" t="str">
        <f t="shared" si="13"/>
        <v/>
      </c>
      <c r="P94" s="343" t="str">
        <f t="shared" si="13"/>
        <v/>
      </c>
      <c r="Q94" s="343" t="str">
        <f t="shared" si="13"/>
        <v/>
      </c>
      <c r="R94" s="343" t="str">
        <f t="shared" si="13"/>
        <v/>
      </c>
      <c r="S94" s="343" t="str">
        <f t="shared" si="13"/>
        <v/>
      </c>
      <c r="T94" s="343"/>
      <c r="U94" s="344"/>
      <c r="V94" s="463" t="str">
        <f>IF($N94="","",MCAin!$R110*$N94)</f>
        <v/>
      </c>
      <c r="W94" s="345" t="str">
        <f>IF($O94="","",MCAin!$R110*$O94)</f>
        <v/>
      </c>
      <c r="X94" s="345" t="str">
        <f>IF($P94="","",MCAin!$R110*$P94)</f>
        <v/>
      </c>
      <c r="Y94" s="345" t="str">
        <f>IF($Q94="","",MCAin!$R110*$Q94)</f>
        <v/>
      </c>
      <c r="Z94" s="345" t="str">
        <f>IF($R94="","",MCAin!$R110*$R94)</f>
        <v/>
      </c>
      <c r="AA94" s="347" t="str">
        <f>IF($S94="","",MCAin!$R110*$S94)</f>
        <v/>
      </c>
      <c r="AB94" s="463" t="str">
        <f>IF($N94="","",MCAin!$S110*$N94)</f>
        <v/>
      </c>
      <c r="AC94" s="345" t="str">
        <f>IF($O94="","",MCAin!$S110*$O94)</f>
        <v/>
      </c>
      <c r="AD94" s="345" t="str">
        <f>IF($P94="","",MCAin!$S110*$P94)</f>
        <v/>
      </c>
      <c r="AE94" s="345" t="str">
        <f>IF($Q94="","",MCAin!$R110*$Q94)</f>
        <v/>
      </c>
      <c r="AF94" s="345" t="str">
        <f>IF($R94="","",MCAin!$R110*$R94)</f>
        <v/>
      </c>
      <c r="AG94" s="347" t="str">
        <f>IF($S94="","",MCAin!$S110*$S94)</f>
        <v/>
      </c>
      <c r="AH94" s="463" t="str">
        <f>IF($N94="","",MCAin!$T110*$N94)</f>
        <v/>
      </c>
      <c r="AI94" s="345" t="str">
        <f>IF($O94="","",MCAin!$T110*$O94)</f>
        <v/>
      </c>
      <c r="AJ94" s="345" t="str">
        <f>IF($P94="","",MCAin!$T110*$P94)</f>
        <v/>
      </c>
      <c r="AK94" s="345" t="str">
        <f>IF($Q94="","",MCAin!$T110*$Q94)</f>
        <v/>
      </c>
      <c r="AL94" s="345" t="str">
        <f>IF($R94="","",MCAin!$R110*$R94)</f>
        <v/>
      </c>
      <c r="AM94" s="347" t="str">
        <f>IF($S94="","",MCAin!$S110*$S94)</f>
        <v/>
      </c>
      <c r="AN94" s="463" t="str">
        <f>IF($N94="","",MCAin!$U110*$N94)</f>
        <v/>
      </c>
      <c r="AO94" s="345" t="str">
        <f>IF($O94="","",MCAin!$U110*$O94)</f>
        <v/>
      </c>
      <c r="AP94" s="345" t="str">
        <f>IF($P94="","",MCAin!$U110*$P94)</f>
        <v/>
      </c>
      <c r="AQ94" s="345" t="str">
        <f>IF($Q94="","",MCAin!$U110*$Q94)</f>
        <v/>
      </c>
      <c r="AR94" s="345" t="str">
        <f>IF($R94="","",MCAin!$U110*$R94)</f>
        <v/>
      </c>
      <c r="AS94" s="347" t="str">
        <f>IF($S94="","",MCAin!$U110*$S94)</f>
        <v/>
      </c>
      <c r="AT94" s="463" t="str">
        <f>IF($N94="","",MCAin!$V110*$N94)</f>
        <v/>
      </c>
      <c r="AU94" s="345" t="str">
        <f>IF($O94="","",MCAin!$V110*$O94)</f>
        <v/>
      </c>
      <c r="AV94" s="345" t="str">
        <f>IF($P94="","",MCAin!$V110*$P94)</f>
        <v/>
      </c>
      <c r="AW94" s="345" t="str">
        <f>IF($Q94="","",MCAin!$V110*$Q94)</f>
        <v/>
      </c>
      <c r="AX94" s="345" t="str">
        <f>IF($R94="","",MCAin!$V110*$R94)</f>
        <v/>
      </c>
      <c r="AY94" s="347" t="str">
        <f>IF($S94="","",MCAin!$V110*$S94)</f>
        <v/>
      </c>
      <c r="AZ94" s="463" t="str">
        <f>IF($N94="","",MCAin!$W110*$N94)</f>
        <v/>
      </c>
      <c r="BA94" s="345" t="str">
        <f>IF($O94="","",MCAin!$W110*$O94)</f>
        <v/>
      </c>
      <c r="BB94" s="345" t="str">
        <f>IF($P94="","",MCAin!$W110*$P94)</f>
        <v/>
      </c>
      <c r="BC94" s="345" t="str">
        <f>IF($Q94="","",MCAin!$W110*$Q94)</f>
        <v/>
      </c>
      <c r="BD94" s="345" t="str">
        <f>IF($R94="","",MCAin!$W110*$R94)</f>
        <v/>
      </c>
      <c r="BE94" s="347" t="str">
        <f>IF($S94="","",MCAin!$W110*$S94)</f>
        <v/>
      </c>
      <c r="BF94" s="463" t="str">
        <f>IF($N94="","",MCAin!$X110*$N94)</f>
        <v/>
      </c>
      <c r="BG94" s="345" t="str">
        <f>IF($O94="","",MCAin!$X110*$O94)</f>
        <v/>
      </c>
      <c r="BH94" s="345" t="str">
        <f>IF($P94="","",MCAin!$X110*$P94)</f>
        <v/>
      </c>
      <c r="BI94" s="345" t="str">
        <f>IF($Q94="","",MCAin!$X110*$Q94)</f>
        <v/>
      </c>
      <c r="BJ94" s="345" t="str">
        <f>IF($R94="","",MCAin!$X110*$R94)</f>
        <v/>
      </c>
      <c r="BK94" s="347" t="str">
        <f>IF($S94="","",MCAin!$X110*$S94)</f>
        <v/>
      </c>
      <c r="BL94" s="463" t="str">
        <f>IF($N94="","",MCAin!$Y110*$N94)</f>
        <v/>
      </c>
      <c r="BM94" s="345" t="str">
        <f>IF($O94="","",MCAin!$Y110*$O94)</f>
        <v/>
      </c>
      <c r="BN94" s="345" t="str">
        <f>IF($P94="","",MCAin!$Y110*$P94)</f>
        <v/>
      </c>
      <c r="BO94" s="345" t="str">
        <f>IF($Q94="","",MCAin!$Y110*$Q94)</f>
        <v/>
      </c>
      <c r="BP94" s="345" t="str">
        <f>IF($R94="","",MCAin!$Y110*$R94)</f>
        <v/>
      </c>
      <c r="BQ94" s="347" t="str">
        <f>IF($S94="","",MCAin!$Y110*$S94)</f>
        <v/>
      </c>
      <c r="BR94" s="315"/>
      <c r="BS94" s="315"/>
      <c r="BT94" s="315"/>
      <c r="BU94" s="315"/>
      <c r="BV94" s="315"/>
      <c r="BW94" s="315"/>
      <c r="BX94" s="315"/>
      <c r="BY94" s="315"/>
      <c r="BZ94" s="315"/>
    </row>
    <row r="95" spans="1:78" ht="15" customHeight="1">
      <c r="A95" s="314"/>
      <c r="B95" s="110" t="str">
        <f>PTAout!D131</f>
        <v>Duration</v>
      </c>
      <c r="C95" s="316"/>
      <c r="D95" s="318" t="str">
        <f>PTAout!H131</f>
        <v/>
      </c>
      <c r="E95" s="318" t="str">
        <f>PTAout!L131</f>
        <v/>
      </c>
      <c r="F95" s="318" t="str">
        <f>PTAout!Q131</f>
        <v/>
      </c>
      <c r="G95" s="318" t="str">
        <f>PTAout!V131</f>
        <v/>
      </c>
      <c r="H95" s="318" t="str">
        <f>PTAout!AA131</f>
        <v/>
      </c>
      <c r="I95" s="318" t="str">
        <f>PTAout!AF131</f>
        <v/>
      </c>
      <c r="J95" s="487" t="str">
        <f>IF(MCAin!O111="","",MCAin!O111)</f>
        <v/>
      </c>
      <c r="K95" s="487" t="str">
        <f>IF(MCAin!P111="","",MCAin!P111)</f>
        <v/>
      </c>
      <c r="L95" s="314"/>
      <c r="M95" s="534" t="str">
        <f>IF(AND(COUNTIF(D95:I95,"&gt;=0")=$D$1,J95&gt;=0,K95&gt;=0,MCAin!$Q111=""),1,"")</f>
        <v/>
      </c>
      <c r="N95" s="343" t="str">
        <f t="shared" si="13"/>
        <v/>
      </c>
      <c r="O95" s="343" t="str">
        <f t="shared" si="13"/>
        <v/>
      </c>
      <c r="P95" s="343" t="str">
        <f t="shared" si="13"/>
        <v/>
      </c>
      <c r="Q95" s="343" t="str">
        <f t="shared" si="13"/>
        <v/>
      </c>
      <c r="R95" s="343" t="str">
        <f t="shared" si="13"/>
        <v/>
      </c>
      <c r="S95" s="343" t="str">
        <f t="shared" si="13"/>
        <v/>
      </c>
      <c r="T95" s="343"/>
      <c r="U95" s="344"/>
      <c r="V95" s="463" t="str">
        <f>IF($N95="","",MCAin!$R111*$N95)</f>
        <v/>
      </c>
      <c r="W95" s="345" t="str">
        <f>IF($O95="","",MCAin!$R111*$O95)</f>
        <v/>
      </c>
      <c r="X95" s="345" t="str">
        <f>IF($P95="","",MCAin!$R111*$P95)</f>
        <v/>
      </c>
      <c r="Y95" s="345" t="str">
        <f>IF($Q95="","",MCAin!$R111*$Q95)</f>
        <v/>
      </c>
      <c r="Z95" s="345" t="str">
        <f>IF($R95="","",MCAin!$R111*$R95)</f>
        <v/>
      </c>
      <c r="AA95" s="347" t="str">
        <f>IF($S95="","",MCAin!$R111*$S95)</f>
        <v/>
      </c>
      <c r="AB95" s="463" t="str">
        <f>IF($N95="","",MCAin!$S111*$N95)</f>
        <v/>
      </c>
      <c r="AC95" s="345" t="str">
        <f>IF($O95="","",MCAin!$S111*$O95)</f>
        <v/>
      </c>
      <c r="AD95" s="345" t="str">
        <f>IF($P95="","",MCAin!$S111*$P95)</f>
        <v/>
      </c>
      <c r="AE95" s="345" t="str">
        <f>IF($Q95="","",MCAin!$R111*$Q95)</f>
        <v/>
      </c>
      <c r="AF95" s="345" t="str">
        <f>IF($R95="","",MCAin!$R111*$R95)</f>
        <v/>
      </c>
      <c r="AG95" s="347" t="str">
        <f>IF($S95="","",MCAin!$S111*$S95)</f>
        <v/>
      </c>
      <c r="AH95" s="463" t="str">
        <f>IF($N95="","",MCAin!$T111*$N95)</f>
        <v/>
      </c>
      <c r="AI95" s="345" t="str">
        <f>IF($O95="","",MCAin!$T111*$O95)</f>
        <v/>
      </c>
      <c r="AJ95" s="345" t="str">
        <f>IF($P95="","",MCAin!$T111*$P95)</f>
        <v/>
      </c>
      <c r="AK95" s="345" t="str">
        <f>IF($Q95="","",MCAin!$T111*$Q95)</f>
        <v/>
      </c>
      <c r="AL95" s="345" t="str">
        <f>IF($R95="","",MCAin!$R111*$R95)</f>
        <v/>
      </c>
      <c r="AM95" s="347" t="str">
        <f>IF($S95="","",MCAin!$S111*$S95)</f>
        <v/>
      </c>
      <c r="AN95" s="463" t="str">
        <f>IF($N95="","",MCAin!$U111*$N95)</f>
        <v/>
      </c>
      <c r="AO95" s="345" t="str">
        <f>IF($O95="","",MCAin!$U111*$O95)</f>
        <v/>
      </c>
      <c r="AP95" s="345" t="str">
        <f>IF($P95="","",MCAin!$U111*$P95)</f>
        <v/>
      </c>
      <c r="AQ95" s="345" t="str">
        <f>IF($Q95="","",MCAin!$U111*$Q95)</f>
        <v/>
      </c>
      <c r="AR95" s="345" t="str">
        <f>IF($R95="","",MCAin!$U111*$R95)</f>
        <v/>
      </c>
      <c r="AS95" s="347" t="str">
        <f>IF($S95="","",MCAin!$U111*$S95)</f>
        <v/>
      </c>
      <c r="AT95" s="463" t="str">
        <f>IF($N95="","",MCAin!$V111*$N95)</f>
        <v/>
      </c>
      <c r="AU95" s="345" t="str">
        <f>IF($O95="","",MCAin!$V111*$O95)</f>
        <v/>
      </c>
      <c r="AV95" s="345" t="str">
        <f>IF($P95="","",MCAin!$V111*$P95)</f>
        <v/>
      </c>
      <c r="AW95" s="345" t="str">
        <f>IF($Q95="","",MCAin!$V111*$Q95)</f>
        <v/>
      </c>
      <c r="AX95" s="345" t="str">
        <f>IF($R95="","",MCAin!$V111*$R95)</f>
        <v/>
      </c>
      <c r="AY95" s="347" t="str">
        <f>IF($S95="","",MCAin!$V111*$S95)</f>
        <v/>
      </c>
      <c r="AZ95" s="463" t="str">
        <f>IF($N95="","",MCAin!$W111*$N95)</f>
        <v/>
      </c>
      <c r="BA95" s="345" t="str">
        <f>IF($O95="","",MCAin!$W111*$O95)</f>
        <v/>
      </c>
      <c r="BB95" s="345" t="str">
        <f>IF($P95="","",MCAin!$W111*$P95)</f>
        <v/>
      </c>
      <c r="BC95" s="345" t="str">
        <f>IF($Q95="","",MCAin!$W111*$Q95)</f>
        <v/>
      </c>
      <c r="BD95" s="345" t="str">
        <f>IF($R95="","",MCAin!$W111*$R95)</f>
        <v/>
      </c>
      <c r="BE95" s="347" t="str">
        <f>IF($S95="","",MCAin!$W111*$S95)</f>
        <v/>
      </c>
      <c r="BF95" s="463" t="str">
        <f>IF($N95="","",MCAin!$X111*$N95)</f>
        <v/>
      </c>
      <c r="BG95" s="345" t="str">
        <f>IF($O95="","",MCAin!$X111*$O95)</f>
        <v/>
      </c>
      <c r="BH95" s="345" t="str">
        <f>IF($P95="","",MCAin!$X111*$P95)</f>
        <v/>
      </c>
      <c r="BI95" s="345" t="str">
        <f>IF($Q95="","",MCAin!$X111*$Q95)</f>
        <v/>
      </c>
      <c r="BJ95" s="345" t="str">
        <f>IF($R95="","",MCAin!$X111*$R95)</f>
        <v/>
      </c>
      <c r="BK95" s="347" t="str">
        <f>IF($S95="","",MCAin!$X111*$S95)</f>
        <v/>
      </c>
      <c r="BL95" s="463" t="str">
        <f>IF($N95="","",MCAin!$Y111*$N95)</f>
        <v/>
      </c>
      <c r="BM95" s="345" t="str">
        <f>IF($O95="","",MCAin!$Y111*$O95)</f>
        <v/>
      </c>
      <c r="BN95" s="345" t="str">
        <f>IF($P95="","",MCAin!$Y111*$P95)</f>
        <v/>
      </c>
      <c r="BO95" s="345" t="str">
        <f>IF($Q95="","",MCAin!$Y111*$Q95)</f>
        <v/>
      </c>
      <c r="BP95" s="345" t="str">
        <f>IF($R95="","",MCAin!$Y111*$R95)</f>
        <v/>
      </c>
      <c r="BQ95" s="347" t="str">
        <f>IF($S95="","",MCAin!$Y111*$S95)</f>
        <v/>
      </c>
      <c r="BR95" s="315"/>
      <c r="BS95" s="315"/>
      <c r="BT95" s="315"/>
      <c r="BU95" s="315"/>
      <c r="BV95" s="315"/>
      <c r="BW95" s="315"/>
      <c r="BX95" s="315"/>
      <c r="BY95" s="315"/>
      <c r="BZ95" s="315"/>
    </row>
    <row r="96" spans="1:78" ht="16.5" customHeight="1">
      <c r="A96" s="320"/>
      <c r="B96" s="118" t="str">
        <f>PTAout!D132</f>
        <v>Quality</v>
      </c>
      <c r="C96" s="321"/>
      <c r="D96" s="328" t="str">
        <f>PTAout!H132</f>
        <v/>
      </c>
      <c r="E96" s="328" t="str">
        <f>PTAout!L132</f>
        <v/>
      </c>
      <c r="F96" s="328" t="str">
        <f>PTAout!Q132</f>
        <v/>
      </c>
      <c r="G96" s="328" t="str">
        <f>PTAout!V132</f>
        <v/>
      </c>
      <c r="H96" s="328" t="str">
        <f>PTAout!AA132</f>
        <v/>
      </c>
      <c r="I96" s="328" t="str">
        <f>PTAout!AF132</f>
        <v/>
      </c>
      <c r="J96" s="489" t="str">
        <f>IF(MCAin!O112="","",MCAin!O112)</f>
        <v/>
      </c>
      <c r="K96" s="489" t="str">
        <f>IF(MCAin!P112="","",MCAin!P112)</f>
        <v/>
      </c>
      <c r="L96" s="314"/>
      <c r="M96" s="534" t="str">
        <f>IF(AND(COUNTIF(D96:I96,"&gt;=0")=$D$1,J96&gt;=0,K96&gt;=0,MCAin!$Q112=""),1,"")</f>
        <v/>
      </c>
      <c r="N96" s="492" t="str">
        <f t="shared" si="13"/>
        <v/>
      </c>
      <c r="O96" s="492" t="str">
        <f t="shared" si="13"/>
        <v/>
      </c>
      <c r="P96" s="492" t="str">
        <f t="shared" si="13"/>
        <v/>
      </c>
      <c r="Q96" s="492" t="str">
        <f t="shared" si="13"/>
        <v/>
      </c>
      <c r="R96" s="492" t="str">
        <f t="shared" si="13"/>
        <v/>
      </c>
      <c r="S96" s="492" t="str">
        <f t="shared" si="13"/>
        <v/>
      </c>
      <c r="T96" s="343"/>
      <c r="U96" s="344"/>
      <c r="V96" s="495" t="str">
        <f>IF($N96="","",MCAin!$R112*$N96)</f>
        <v/>
      </c>
      <c r="W96" s="496" t="str">
        <f>IF($O96="","",MCAin!$R112*$O96)</f>
        <v/>
      </c>
      <c r="X96" s="496" t="str">
        <f>IF($P96="","",MCAin!$R112*$P96)</f>
        <v/>
      </c>
      <c r="Y96" s="496" t="str">
        <f>IF($Q96="","",MCAin!$R112*$Q96)</f>
        <v/>
      </c>
      <c r="Z96" s="496" t="str">
        <f>IF($R96="","",MCAin!$R112*$R96)</f>
        <v/>
      </c>
      <c r="AA96" s="497" t="str">
        <f>IF($S96="","",MCAin!$R112*$S96)</f>
        <v/>
      </c>
      <c r="AB96" s="495" t="str">
        <f>IF($N96="","",MCAin!$S112*$N96)</f>
        <v/>
      </c>
      <c r="AC96" s="496" t="str">
        <f>IF($O96="","",MCAin!$S112*$O96)</f>
        <v/>
      </c>
      <c r="AD96" s="496" t="str">
        <f>IF($P96="","",MCAin!$S112*$P96)</f>
        <v/>
      </c>
      <c r="AE96" s="496" t="str">
        <f>IF($Q96="","",MCAin!$R112*$Q96)</f>
        <v/>
      </c>
      <c r="AF96" s="496" t="str">
        <f>IF($R96="","",MCAin!$R112*$R96)</f>
        <v/>
      </c>
      <c r="AG96" s="497" t="str">
        <f>IF($S96="","",MCAin!$S112*$S96)</f>
        <v/>
      </c>
      <c r="AH96" s="495" t="str">
        <f>IF($N96="","",MCAin!$T112*$N96)</f>
        <v/>
      </c>
      <c r="AI96" s="496" t="str">
        <f>IF($O96="","",MCAin!$T112*$O96)</f>
        <v/>
      </c>
      <c r="AJ96" s="496" t="str">
        <f>IF($P96="","",MCAin!$T112*$P96)</f>
        <v/>
      </c>
      <c r="AK96" s="496" t="str">
        <f>IF($Q96="","",MCAin!$T112*$Q96)</f>
        <v/>
      </c>
      <c r="AL96" s="496" t="str">
        <f>IF($R96="","",MCAin!$R112*$R96)</f>
        <v/>
      </c>
      <c r="AM96" s="497" t="str">
        <f>IF($S96="","",MCAin!$S112*$S96)</f>
        <v/>
      </c>
      <c r="AN96" s="495" t="str">
        <f>IF($N96="","",MCAin!$U112*$N96)</f>
        <v/>
      </c>
      <c r="AO96" s="496" t="str">
        <f>IF($O96="","",MCAin!$U112*$O96)</f>
        <v/>
      </c>
      <c r="AP96" s="496" t="str">
        <f>IF($P96="","",MCAin!$U112*$P96)</f>
        <v/>
      </c>
      <c r="AQ96" s="496" t="str">
        <f>IF($Q96="","",MCAin!$U112*$Q96)</f>
        <v/>
      </c>
      <c r="AR96" s="496" t="str">
        <f>IF($R96="","",MCAin!$U112*$R96)</f>
        <v/>
      </c>
      <c r="AS96" s="497" t="str">
        <f>IF($S96="","",MCAin!$U112*$S96)</f>
        <v/>
      </c>
      <c r="AT96" s="495" t="str">
        <f>IF($N96="","",MCAin!$V112*$N96)</f>
        <v/>
      </c>
      <c r="AU96" s="496" t="str">
        <f>IF($O96="","",MCAin!$V112*$O96)</f>
        <v/>
      </c>
      <c r="AV96" s="496" t="str">
        <f>IF($P96="","",MCAin!$V112*$P96)</f>
        <v/>
      </c>
      <c r="AW96" s="496" t="str">
        <f>IF($Q96="","",MCAin!$V112*$Q96)</f>
        <v/>
      </c>
      <c r="AX96" s="496" t="str">
        <f>IF($R96="","",MCAin!$V112*$R96)</f>
        <v/>
      </c>
      <c r="AY96" s="497" t="str">
        <f>IF($S96="","",MCAin!$V112*$S96)</f>
        <v/>
      </c>
      <c r="AZ96" s="495" t="str">
        <f>IF($N96="","",MCAin!$W112*$N96)</f>
        <v/>
      </c>
      <c r="BA96" s="496" t="str">
        <f>IF($O96="","",MCAin!$W112*$O96)</f>
        <v/>
      </c>
      <c r="BB96" s="496" t="str">
        <f>IF($P96="","",MCAin!$W112*$P96)</f>
        <v/>
      </c>
      <c r="BC96" s="496" t="str">
        <f>IF($Q96="","",MCAin!$W112*$Q96)</f>
        <v/>
      </c>
      <c r="BD96" s="496" t="str">
        <f>IF($R96="","",MCAin!$W112*$R96)</f>
        <v/>
      </c>
      <c r="BE96" s="497" t="str">
        <f>IF($S96="","",MCAin!$W112*$S96)</f>
        <v/>
      </c>
      <c r="BF96" s="495" t="str">
        <f>IF($N96="","",MCAin!$X112*$N96)</f>
        <v/>
      </c>
      <c r="BG96" s="496" t="str">
        <f>IF($O96="","",MCAin!$X112*$O96)</f>
        <v/>
      </c>
      <c r="BH96" s="496" t="str">
        <f>IF($P96="","",MCAin!$X112*$P96)</f>
        <v/>
      </c>
      <c r="BI96" s="496" t="str">
        <f>IF($Q96="","",MCAin!$X112*$Q96)</f>
        <v/>
      </c>
      <c r="BJ96" s="496" t="str">
        <f>IF($R96="","",MCAin!$X112*$R96)</f>
        <v/>
      </c>
      <c r="BK96" s="497" t="str">
        <f>IF($S96="","",MCAin!$X112*$S96)</f>
        <v/>
      </c>
      <c r="BL96" s="495" t="str">
        <f>IF($N96="","",MCAin!$Y112*$N96)</f>
        <v/>
      </c>
      <c r="BM96" s="496" t="str">
        <f>IF($O96="","",MCAin!$Y112*$O96)</f>
        <v/>
      </c>
      <c r="BN96" s="496" t="str">
        <f>IF($P96="","",MCAin!$Y112*$P96)</f>
        <v/>
      </c>
      <c r="BO96" s="496" t="str">
        <f>IF($Q96="","",MCAin!$Y112*$Q96)</f>
        <v/>
      </c>
      <c r="BP96" s="496" t="str">
        <f>IF($R96="","",MCAin!$Y112*$R96)</f>
        <v/>
      </c>
      <c r="BQ96" s="497" t="str">
        <f>IF($S96="","",MCAin!$Y112*$S96)</f>
        <v/>
      </c>
      <c r="BR96" s="315"/>
      <c r="BS96" s="315"/>
      <c r="BT96" s="315"/>
      <c r="BU96" s="315"/>
      <c r="BV96" s="315"/>
      <c r="BW96" s="315"/>
      <c r="BX96" s="315"/>
      <c r="BY96" s="315"/>
      <c r="BZ96" s="315"/>
    </row>
    <row r="97" spans="1:78" ht="15" customHeight="1">
      <c r="A97" s="510" t="str">
        <f>PTAout!C133</f>
        <v>Bus stopping</v>
      </c>
      <c r="B97" s="511"/>
      <c r="C97" s="500"/>
      <c r="D97" s="501"/>
      <c r="E97" s="501"/>
      <c r="F97" s="501"/>
      <c r="G97" s="501"/>
      <c r="H97" s="501"/>
      <c r="I97" s="501"/>
      <c r="J97" s="502"/>
      <c r="K97" s="502"/>
      <c r="L97" s="503"/>
      <c r="M97" s="504"/>
      <c r="N97" s="504"/>
      <c r="O97" s="504"/>
      <c r="P97" s="504"/>
      <c r="Q97" s="504"/>
      <c r="R97" s="504"/>
      <c r="S97" s="504"/>
      <c r="T97" s="504"/>
      <c r="U97" s="504"/>
      <c r="V97" s="507"/>
      <c r="W97" s="508"/>
      <c r="X97" s="508"/>
      <c r="Y97" s="508"/>
      <c r="Z97" s="508"/>
      <c r="AA97" s="509"/>
      <c r="AB97" s="507"/>
      <c r="AC97" s="508"/>
      <c r="AD97" s="508"/>
      <c r="AE97" s="508"/>
      <c r="AF97" s="508"/>
      <c r="AG97" s="509"/>
      <c r="AH97" s="507"/>
      <c r="AI97" s="508"/>
      <c r="AJ97" s="508"/>
      <c r="AK97" s="508"/>
      <c r="AL97" s="508"/>
      <c r="AM97" s="509"/>
      <c r="AN97" s="507"/>
      <c r="AO97" s="508"/>
      <c r="AP97" s="508"/>
      <c r="AQ97" s="508"/>
      <c r="AR97" s="508"/>
      <c r="AS97" s="509"/>
      <c r="AT97" s="507"/>
      <c r="AU97" s="508"/>
      <c r="AV97" s="508"/>
      <c r="AW97" s="508"/>
      <c r="AX97" s="508"/>
      <c r="AY97" s="509"/>
      <c r="AZ97" s="507"/>
      <c r="BA97" s="508"/>
      <c r="BB97" s="508"/>
      <c r="BC97" s="508"/>
      <c r="BD97" s="508"/>
      <c r="BE97" s="509"/>
      <c r="BF97" s="507"/>
      <c r="BG97" s="508"/>
      <c r="BH97" s="508"/>
      <c r="BI97" s="508"/>
      <c r="BJ97" s="508"/>
      <c r="BK97" s="509"/>
      <c r="BL97" s="507"/>
      <c r="BM97" s="508"/>
      <c r="BN97" s="508"/>
      <c r="BO97" s="508"/>
      <c r="BP97" s="508"/>
      <c r="BQ97" s="509"/>
      <c r="BR97" s="315"/>
      <c r="BS97" s="315"/>
      <c r="BT97" s="315"/>
      <c r="BU97" s="315"/>
      <c r="BV97" s="315"/>
      <c r="BW97" s="315"/>
      <c r="BX97" s="315"/>
      <c r="BY97" s="315"/>
      <c r="BZ97" s="315"/>
    </row>
    <row r="98" spans="1:78" ht="15" customHeight="1">
      <c r="A98" s="314"/>
      <c r="B98" s="110" t="str">
        <f>PTAout!D134</f>
        <v>Space</v>
      </c>
      <c r="C98" s="316"/>
      <c r="D98" s="318" t="str">
        <f>PTAout!H134</f>
        <v/>
      </c>
      <c r="E98" s="318" t="str">
        <f>PTAout!L134</f>
        <v/>
      </c>
      <c r="F98" s="318" t="str">
        <f>PTAout!Q134</f>
        <v/>
      </c>
      <c r="G98" s="318" t="str">
        <f>PTAout!V134</f>
        <v/>
      </c>
      <c r="H98" s="318" t="str">
        <f>PTAout!AA134</f>
        <v/>
      </c>
      <c r="I98" s="318" t="str">
        <f>PTAout!AF134</f>
        <v/>
      </c>
      <c r="J98" s="484">
        <f>IF(MCAin!O114="","",MCAin!O114)</f>
        <v>0</v>
      </c>
      <c r="K98" s="484">
        <f>IF(MCAin!P114="","",MCAin!P114)</f>
        <v>4</v>
      </c>
      <c r="L98" s="314"/>
      <c r="M98" s="534" t="str">
        <f>IF(AND(COUNTIF(D98:I98,"&gt;=0")=$D$1,J98&gt;=0,K98&gt;=0,MCAin!$Q114=""),1,"")</f>
        <v/>
      </c>
      <c r="N98" s="343" t="str">
        <f t="shared" ref="N98:S101" si="14">IF(OR($M98&lt;&gt;1,D98=""),"",(D98-$J98)/($K98-$J98))</f>
        <v/>
      </c>
      <c r="O98" s="343" t="str">
        <f t="shared" si="14"/>
        <v/>
      </c>
      <c r="P98" s="343" t="str">
        <f t="shared" si="14"/>
        <v/>
      </c>
      <c r="Q98" s="343" t="str">
        <f t="shared" si="14"/>
        <v/>
      </c>
      <c r="R98" s="343" t="str">
        <f t="shared" si="14"/>
        <v/>
      </c>
      <c r="S98" s="343" t="str">
        <f t="shared" si="14"/>
        <v/>
      </c>
      <c r="T98" s="343"/>
      <c r="U98" s="344"/>
      <c r="V98" s="463" t="str">
        <f>IF($N98="","",MCAin!$R114*$N98)</f>
        <v/>
      </c>
      <c r="W98" s="345" t="str">
        <f>IF($O98="","",MCAin!$R114*$O98)</f>
        <v/>
      </c>
      <c r="X98" s="345" t="str">
        <f>IF($P98="","",MCAin!$R114*$P98)</f>
        <v/>
      </c>
      <c r="Y98" s="345" t="str">
        <f>IF($Q98="","",MCAin!$R114*$Q98)</f>
        <v/>
      </c>
      <c r="Z98" s="345" t="str">
        <f>IF($R98="","",MCAin!$R114*$R98)</f>
        <v/>
      </c>
      <c r="AA98" s="347" t="str">
        <f>IF($S98="","",MCAin!$R114*$S98)</f>
        <v/>
      </c>
      <c r="AB98" s="463" t="str">
        <f>IF($N98="","",MCAin!$S114*$N98)</f>
        <v/>
      </c>
      <c r="AC98" s="345" t="str">
        <f>IF($O98="","",MCAin!$S114*$O98)</f>
        <v/>
      </c>
      <c r="AD98" s="345" t="str">
        <f>IF($P98="","",MCAin!$S114*$P98)</f>
        <v/>
      </c>
      <c r="AE98" s="345" t="str">
        <f>IF($Q98="","",MCAin!$R114*$Q98)</f>
        <v/>
      </c>
      <c r="AF98" s="345" t="str">
        <f>IF($R98="","",MCAin!$R114*$R98)</f>
        <v/>
      </c>
      <c r="AG98" s="347" t="str">
        <f>IF($S98="","",MCAin!$S114*$S98)</f>
        <v/>
      </c>
      <c r="AH98" s="463" t="str">
        <f>IF($N98="","",MCAin!$T114*$N98)</f>
        <v/>
      </c>
      <c r="AI98" s="345" t="str">
        <f>IF($O98="","",MCAin!$T114*$O98)</f>
        <v/>
      </c>
      <c r="AJ98" s="345" t="str">
        <f>IF($P98="","",MCAin!$T114*$P98)</f>
        <v/>
      </c>
      <c r="AK98" s="345" t="str">
        <f>IF($Q98="","",MCAin!$T114*$Q98)</f>
        <v/>
      </c>
      <c r="AL98" s="345" t="str">
        <f>IF($R98="","",MCAin!$R114*$R98)</f>
        <v/>
      </c>
      <c r="AM98" s="347" t="str">
        <f>IF($S98="","",MCAin!$S114*$S98)</f>
        <v/>
      </c>
      <c r="AN98" s="463" t="str">
        <f>IF($N98="","",MCAin!$U114*$N98)</f>
        <v/>
      </c>
      <c r="AO98" s="345" t="str">
        <f>IF($O98="","",MCAin!$U114*$O98)</f>
        <v/>
      </c>
      <c r="AP98" s="345" t="str">
        <f>IF($P98="","",MCAin!$U114*$P98)</f>
        <v/>
      </c>
      <c r="AQ98" s="345" t="str">
        <f>IF($Q98="","",MCAin!$U114*$Q98)</f>
        <v/>
      </c>
      <c r="AR98" s="345" t="str">
        <f>IF($R98="","",MCAin!$U114*$R98)</f>
        <v/>
      </c>
      <c r="AS98" s="347" t="str">
        <f>IF($S98="","",MCAin!$U114*$S98)</f>
        <v/>
      </c>
      <c r="AT98" s="463" t="str">
        <f>IF($N98="","",MCAin!$V114*$N98)</f>
        <v/>
      </c>
      <c r="AU98" s="345" t="str">
        <f>IF($O98="","",MCAin!$V114*$O98)</f>
        <v/>
      </c>
      <c r="AV98" s="345" t="str">
        <f>IF($P98="","",MCAin!$V114*$P98)</f>
        <v/>
      </c>
      <c r="AW98" s="345" t="str">
        <f>IF($Q98="","",MCAin!$V114*$Q98)</f>
        <v/>
      </c>
      <c r="AX98" s="345" t="str">
        <f>IF($R98="","",MCAin!$V114*$R98)</f>
        <v/>
      </c>
      <c r="AY98" s="347" t="str">
        <f>IF($S98="","",MCAin!$V114*$S98)</f>
        <v/>
      </c>
      <c r="AZ98" s="463" t="str">
        <f>IF($N98="","",MCAin!$W114*$N98)</f>
        <v/>
      </c>
      <c r="BA98" s="345" t="str">
        <f>IF($O98="","",MCAin!$W114*$O98)</f>
        <v/>
      </c>
      <c r="BB98" s="345" t="str">
        <f>IF($P98="","",MCAin!$W114*$P98)</f>
        <v/>
      </c>
      <c r="BC98" s="345" t="str">
        <f>IF($Q98="","",MCAin!$W114*$Q98)</f>
        <v/>
      </c>
      <c r="BD98" s="345" t="str">
        <f>IF($R98="","",MCAin!$W114*$R98)</f>
        <v/>
      </c>
      <c r="BE98" s="347" t="str">
        <f>IF($S98="","",MCAin!$W114*$S98)</f>
        <v/>
      </c>
      <c r="BF98" s="463" t="str">
        <f>IF($N98="","",MCAin!$X114*$N98)</f>
        <v/>
      </c>
      <c r="BG98" s="345" t="str">
        <f>IF($O98="","",MCAin!$X114*$O98)</f>
        <v/>
      </c>
      <c r="BH98" s="345" t="str">
        <f>IF($P98="","",MCAin!$X114*$P98)</f>
        <v/>
      </c>
      <c r="BI98" s="345" t="str">
        <f>IF($Q98="","",MCAin!$X114*$Q98)</f>
        <v/>
      </c>
      <c r="BJ98" s="345" t="str">
        <f>IF($R98="","",MCAin!$X114*$R98)</f>
        <v/>
      </c>
      <c r="BK98" s="347" t="str">
        <f>IF($S98="","",MCAin!$X114*$S98)</f>
        <v/>
      </c>
      <c r="BL98" s="463" t="str">
        <f>IF($N98="","",MCAin!$Y114*$N98)</f>
        <v/>
      </c>
      <c r="BM98" s="345" t="str">
        <f>IF($O98="","",MCAin!$Y114*$O98)</f>
        <v/>
      </c>
      <c r="BN98" s="345" t="str">
        <f>IF($P98="","",MCAin!$Y114*$P98)</f>
        <v/>
      </c>
      <c r="BO98" s="345" t="str">
        <f>IF($Q98="","",MCAin!$Y114*$Q98)</f>
        <v/>
      </c>
      <c r="BP98" s="345" t="str">
        <f>IF($R98="","",MCAin!$Y114*$R98)</f>
        <v/>
      </c>
      <c r="BQ98" s="347" t="str">
        <f>IF($S98="","",MCAin!$Y114*$S98)</f>
        <v/>
      </c>
      <c r="BR98" s="315"/>
      <c r="BS98" s="315"/>
      <c r="BT98" s="315"/>
      <c r="BU98" s="315"/>
      <c r="BV98" s="315"/>
      <c r="BW98" s="315"/>
      <c r="BX98" s="315"/>
      <c r="BY98" s="315"/>
      <c r="BZ98" s="315"/>
    </row>
    <row r="99" spans="1:78" ht="15" customHeight="1">
      <c r="A99" s="314"/>
      <c r="B99" s="110" t="str">
        <f>PTAout!D135</f>
        <v>Number of activities</v>
      </c>
      <c r="C99" s="316"/>
      <c r="D99" s="327" t="str">
        <f>PTAout!H135</f>
        <v/>
      </c>
      <c r="E99" s="327" t="str">
        <f>PTAout!L135</f>
        <v/>
      </c>
      <c r="F99" s="327" t="str">
        <f>PTAout!Q135</f>
        <v/>
      </c>
      <c r="G99" s="327" t="str">
        <f>PTAout!V135</f>
        <v/>
      </c>
      <c r="H99" s="327" t="str">
        <f>PTAout!AA135</f>
        <v/>
      </c>
      <c r="I99" s="327" t="str">
        <f>PTAout!AF135</f>
        <v/>
      </c>
      <c r="J99" s="487" t="str">
        <f>IF(MCAin!O115="","",MCAin!O115)</f>
        <v/>
      </c>
      <c r="K99" s="487" t="str">
        <f>IF(MCAin!P115="","",MCAin!P115)</f>
        <v/>
      </c>
      <c r="L99" s="314"/>
      <c r="M99" s="534" t="str">
        <f>IF(AND(COUNTIF(D99:I99,"&gt;=0")=$D$1,J99&gt;=0,K99&gt;=0,MCAin!$Q115=""),1,"")</f>
        <v/>
      </c>
      <c r="N99" s="343" t="str">
        <f t="shared" si="14"/>
        <v/>
      </c>
      <c r="O99" s="343" t="str">
        <f t="shared" si="14"/>
        <v/>
      </c>
      <c r="P99" s="343" t="str">
        <f t="shared" si="14"/>
        <v/>
      </c>
      <c r="Q99" s="343" t="str">
        <f t="shared" si="14"/>
        <v/>
      </c>
      <c r="R99" s="343" t="str">
        <f t="shared" si="14"/>
        <v/>
      </c>
      <c r="S99" s="343" t="str">
        <f t="shared" si="14"/>
        <v/>
      </c>
      <c r="T99" s="343"/>
      <c r="U99" s="344"/>
      <c r="V99" s="463" t="str">
        <f>IF($N99="","",MCAin!$R115*$N99)</f>
        <v/>
      </c>
      <c r="W99" s="345" t="str">
        <f>IF($O99="","",MCAin!$R115*$O99)</f>
        <v/>
      </c>
      <c r="X99" s="345" t="str">
        <f>IF($P99="","",MCAin!$R115*$P99)</f>
        <v/>
      </c>
      <c r="Y99" s="345" t="str">
        <f>IF($Q99="","",MCAin!$R115*$Q99)</f>
        <v/>
      </c>
      <c r="Z99" s="345" t="str">
        <f>IF($R99="","",MCAin!$R115*$R99)</f>
        <v/>
      </c>
      <c r="AA99" s="347" t="str">
        <f>IF($S99="","",MCAin!$R115*$S99)</f>
        <v/>
      </c>
      <c r="AB99" s="463" t="str">
        <f>IF($N99="","",MCAin!$S115*$N99)</f>
        <v/>
      </c>
      <c r="AC99" s="345" t="str">
        <f>IF($O99="","",MCAin!$S115*$O99)</f>
        <v/>
      </c>
      <c r="AD99" s="345" t="str">
        <f>IF($P99="","",MCAin!$S115*$P99)</f>
        <v/>
      </c>
      <c r="AE99" s="345" t="str">
        <f>IF($Q99="","",MCAin!$R115*$Q99)</f>
        <v/>
      </c>
      <c r="AF99" s="345" t="str">
        <f>IF($R99="","",MCAin!$R115*$R99)</f>
        <v/>
      </c>
      <c r="AG99" s="347" t="str">
        <f>IF($S99="","",MCAin!$S115*$S99)</f>
        <v/>
      </c>
      <c r="AH99" s="463" t="str">
        <f>IF($N99="","",MCAin!$T115*$N99)</f>
        <v/>
      </c>
      <c r="AI99" s="345" t="str">
        <f>IF($O99="","",MCAin!$T115*$O99)</f>
        <v/>
      </c>
      <c r="AJ99" s="345" t="str">
        <f>IF($P99="","",MCAin!$T115*$P99)</f>
        <v/>
      </c>
      <c r="AK99" s="345" t="str">
        <f>IF($Q99="","",MCAin!$T115*$Q99)</f>
        <v/>
      </c>
      <c r="AL99" s="345" t="str">
        <f>IF($R99="","",MCAin!$R115*$R99)</f>
        <v/>
      </c>
      <c r="AM99" s="347" t="str">
        <f>IF($S99="","",MCAin!$S115*$S99)</f>
        <v/>
      </c>
      <c r="AN99" s="463" t="str">
        <f>IF($N99="","",MCAin!$U115*$N99)</f>
        <v/>
      </c>
      <c r="AO99" s="345" t="str">
        <f>IF($O99="","",MCAin!$U115*$O99)</f>
        <v/>
      </c>
      <c r="AP99" s="345" t="str">
        <f>IF($P99="","",MCAin!$U115*$P99)</f>
        <v/>
      </c>
      <c r="AQ99" s="345" t="str">
        <f>IF($Q99="","",MCAin!$U115*$Q99)</f>
        <v/>
      </c>
      <c r="AR99" s="345" t="str">
        <f>IF($R99="","",MCAin!$U115*$R99)</f>
        <v/>
      </c>
      <c r="AS99" s="347" t="str">
        <f>IF($S99="","",MCAin!$U115*$S99)</f>
        <v/>
      </c>
      <c r="AT99" s="463" t="str">
        <f>IF($N99="","",MCAin!$V115*$N99)</f>
        <v/>
      </c>
      <c r="AU99" s="345" t="str">
        <f>IF($O99="","",MCAin!$V115*$O99)</f>
        <v/>
      </c>
      <c r="AV99" s="345" t="str">
        <f>IF($P99="","",MCAin!$V115*$P99)</f>
        <v/>
      </c>
      <c r="AW99" s="345" t="str">
        <f>IF($Q99="","",MCAin!$V115*$Q99)</f>
        <v/>
      </c>
      <c r="AX99" s="345" t="str">
        <f>IF($R99="","",MCAin!$V115*$R99)</f>
        <v/>
      </c>
      <c r="AY99" s="347" t="str">
        <f>IF($S99="","",MCAin!$V115*$S99)</f>
        <v/>
      </c>
      <c r="AZ99" s="463" t="str">
        <f>IF($N99="","",MCAin!$W115*$N99)</f>
        <v/>
      </c>
      <c r="BA99" s="345" t="str">
        <f>IF($O99="","",MCAin!$W115*$O99)</f>
        <v/>
      </c>
      <c r="BB99" s="345" t="str">
        <f>IF($P99="","",MCAin!$W115*$P99)</f>
        <v/>
      </c>
      <c r="BC99" s="345" t="str">
        <f>IF($Q99="","",MCAin!$W115*$Q99)</f>
        <v/>
      </c>
      <c r="BD99" s="345" t="str">
        <f>IF($R99="","",MCAin!$W115*$R99)</f>
        <v/>
      </c>
      <c r="BE99" s="347" t="str">
        <f>IF($S99="","",MCAin!$W115*$S99)</f>
        <v/>
      </c>
      <c r="BF99" s="463" t="str">
        <f>IF($N99="","",MCAin!$X115*$N99)</f>
        <v/>
      </c>
      <c r="BG99" s="345" t="str">
        <f>IF($O99="","",MCAin!$X115*$O99)</f>
        <v/>
      </c>
      <c r="BH99" s="345" t="str">
        <f>IF($P99="","",MCAin!$X115*$P99)</f>
        <v/>
      </c>
      <c r="BI99" s="345" t="str">
        <f>IF($Q99="","",MCAin!$X115*$Q99)</f>
        <v/>
      </c>
      <c r="BJ99" s="345" t="str">
        <f>IF($R99="","",MCAin!$X115*$R99)</f>
        <v/>
      </c>
      <c r="BK99" s="347" t="str">
        <f>IF($S99="","",MCAin!$X115*$S99)</f>
        <v/>
      </c>
      <c r="BL99" s="463" t="str">
        <f>IF($N99="","",MCAin!$Y115*$N99)</f>
        <v/>
      </c>
      <c r="BM99" s="345" t="str">
        <f>IF($O99="","",MCAin!$Y115*$O99)</f>
        <v/>
      </c>
      <c r="BN99" s="345" t="str">
        <f>IF($P99="","",MCAin!$Y115*$P99)</f>
        <v/>
      </c>
      <c r="BO99" s="345" t="str">
        <f>IF($Q99="","",MCAin!$Y115*$Q99)</f>
        <v/>
      </c>
      <c r="BP99" s="345" t="str">
        <f>IF($R99="","",MCAin!$Y115*$R99)</f>
        <v/>
      </c>
      <c r="BQ99" s="347" t="str">
        <f>IF($S99="","",MCAin!$Y115*$S99)</f>
        <v/>
      </c>
      <c r="BR99" s="315"/>
      <c r="BS99" s="315"/>
      <c r="BT99" s="315"/>
      <c r="BU99" s="315"/>
      <c r="BV99" s="315"/>
      <c r="BW99" s="315"/>
      <c r="BX99" s="315"/>
      <c r="BY99" s="315"/>
      <c r="BZ99" s="315"/>
    </row>
    <row r="100" spans="1:78" ht="15" customHeight="1">
      <c r="A100" s="314"/>
      <c r="B100" s="110" t="str">
        <f>PTAout!D136</f>
        <v>Duration</v>
      </c>
      <c r="C100" s="316"/>
      <c r="D100" s="318" t="str">
        <f>PTAout!H136</f>
        <v/>
      </c>
      <c r="E100" s="318" t="str">
        <f>PTAout!L136</f>
        <v/>
      </c>
      <c r="F100" s="318" t="str">
        <f>PTAout!Q136</f>
        <v/>
      </c>
      <c r="G100" s="318" t="str">
        <f>PTAout!V136</f>
        <v/>
      </c>
      <c r="H100" s="318" t="str">
        <f>PTAout!AA136</f>
        <v/>
      </c>
      <c r="I100" s="318" t="str">
        <f>PTAout!AF136</f>
        <v/>
      </c>
      <c r="J100" s="487" t="str">
        <f>IF(MCAin!O116="","",MCAin!O116)</f>
        <v/>
      </c>
      <c r="K100" s="487" t="str">
        <f>IF(MCAin!P116="","",MCAin!P116)</f>
        <v/>
      </c>
      <c r="L100" s="314"/>
      <c r="M100" s="534" t="str">
        <f>IF(AND(COUNTIF(D100:I100,"&gt;=0")=$D$1,J100&gt;=0,K100&gt;=0,MCAin!$Q116=""),1,"")</f>
        <v/>
      </c>
      <c r="N100" s="343" t="str">
        <f t="shared" si="14"/>
        <v/>
      </c>
      <c r="O100" s="343" t="str">
        <f t="shared" si="14"/>
        <v/>
      </c>
      <c r="P100" s="343" t="str">
        <f t="shared" si="14"/>
        <v/>
      </c>
      <c r="Q100" s="343" t="str">
        <f t="shared" si="14"/>
        <v/>
      </c>
      <c r="R100" s="343" t="str">
        <f t="shared" si="14"/>
        <v/>
      </c>
      <c r="S100" s="343" t="str">
        <f t="shared" si="14"/>
        <v/>
      </c>
      <c r="T100" s="343"/>
      <c r="U100" s="344"/>
      <c r="V100" s="463" t="str">
        <f>IF($N100="","",MCAin!$R116*$N100)</f>
        <v/>
      </c>
      <c r="W100" s="345" t="str">
        <f>IF($O100="","",MCAin!$R116*$O100)</f>
        <v/>
      </c>
      <c r="X100" s="345" t="str">
        <f>IF($P100="","",MCAin!$R116*$P100)</f>
        <v/>
      </c>
      <c r="Y100" s="345" t="str">
        <f>IF($Q100="","",MCAin!$R116*$Q100)</f>
        <v/>
      </c>
      <c r="Z100" s="345" t="str">
        <f>IF($R100="","",MCAin!$R116*$R100)</f>
        <v/>
      </c>
      <c r="AA100" s="347" t="str">
        <f>IF($S100="","",MCAin!$R116*$S100)</f>
        <v/>
      </c>
      <c r="AB100" s="463" t="str">
        <f>IF($N100="","",MCAin!$S116*$N100)</f>
        <v/>
      </c>
      <c r="AC100" s="345" t="str">
        <f>IF($O100="","",MCAin!$S116*$O100)</f>
        <v/>
      </c>
      <c r="AD100" s="345" t="str">
        <f>IF($P100="","",MCAin!$S116*$P100)</f>
        <v/>
      </c>
      <c r="AE100" s="345" t="str">
        <f>IF($Q100="","",MCAin!$R116*$Q100)</f>
        <v/>
      </c>
      <c r="AF100" s="345" t="str">
        <f>IF($R100="","",MCAin!$R116*$R100)</f>
        <v/>
      </c>
      <c r="AG100" s="347" t="str">
        <f>IF($S100="","",MCAin!$S116*$S100)</f>
        <v/>
      </c>
      <c r="AH100" s="463" t="str">
        <f>IF($N100="","",MCAin!$T116*$N100)</f>
        <v/>
      </c>
      <c r="AI100" s="345" t="str">
        <f>IF($O100="","",MCAin!$T116*$O100)</f>
        <v/>
      </c>
      <c r="AJ100" s="345" t="str">
        <f>IF($P100="","",MCAin!$T116*$P100)</f>
        <v/>
      </c>
      <c r="AK100" s="345" t="str">
        <f>IF($Q100="","",MCAin!$T116*$Q100)</f>
        <v/>
      </c>
      <c r="AL100" s="345" t="str">
        <f>IF($R100="","",MCAin!$R116*$R100)</f>
        <v/>
      </c>
      <c r="AM100" s="347" t="str">
        <f>IF($S100="","",MCAin!$S116*$S100)</f>
        <v/>
      </c>
      <c r="AN100" s="463" t="str">
        <f>IF($N100="","",MCAin!$U116*$N100)</f>
        <v/>
      </c>
      <c r="AO100" s="345" t="str">
        <f>IF($O100="","",MCAin!$U116*$O100)</f>
        <v/>
      </c>
      <c r="AP100" s="345" t="str">
        <f>IF($P100="","",MCAin!$U116*$P100)</f>
        <v/>
      </c>
      <c r="AQ100" s="345" t="str">
        <f>IF($Q100="","",MCAin!$U116*$Q100)</f>
        <v/>
      </c>
      <c r="AR100" s="345" t="str">
        <f>IF($R100="","",MCAin!$U116*$R100)</f>
        <v/>
      </c>
      <c r="AS100" s="347" t="str">
        <f>IF($S100="","",MCAin!$U116*$S100)</f>
        <v/>
      </c>
      <c r="AT100" s="463" t="str">
        <f>IF($N100="","",MCAin!$V116*$N100)</f>
        <v/>
      </c>
      <c r="AU100" s="345" t="str">
        <f>IF($O100="","",MCAin!$V116*$O100)</f>
        <v/>
      </c>
      <c r="AV100" s="345" t="str">
        <f>IF($P100="","",MCAin!$V116*$P100)</f>
        <v/>
      </c>
      <c r="AW100" s="345" t="str">
        <f>IF($Q100="","",MCAin!$V116*$Q100)</f>
        <v/>
      </c>
      <c r="AX100" s="345" t="str">
        <f>IF($R100="","",MCAin!$V116*$R100)</f>
        <v/>
      </c>
      <c r="AY100" s="347" t="str">
        <f>IF($S100="","",MCAin!$V116*$S100)</f>
        <v/>
      </c>
      <c r="AZ100" s="463" t="str">
        <f>IF($N100="","",MCAin!$W116*$N100)</f>
        <v/>
      </c>
      <c r="BA100" s="345" t="str">
        <f>IF($O100="","",MCAin!$W116*$O100)</f>
        <v/>
      </c>
      <c r="BB100" s="345" t="str">
        <f>IF($P100="","",MCAin!$W116*$P100)</f>
        <v/>
      </c>
      <c r="BC100" s="345" t="str">
        <f>IF($Q100="","",MCAin!$W116*$Q100)</f>
        <v/>
      </c>
      <c r="BD100" s="345" t="str">
        <f>IF($R100="","",MCAin!$W116*$R100)</f>
        <v/>
      </c>
      <c r="BE100" s="347" t="str">
        <f>IF($S100="","",MCAin!$W116*$S100)</f>
        <v/>
      </c>
      <c r="BF100" s="463" t="str">
        <f>IF($N100="","",MCAin!$X116*$N100)</f>
        <v/>
      </c>
      <c r="BG100" s="345" t="str">
        <f>IF($O100="","",MCAin!$X116*$O100)</f>
        <v/>
      </c>
      <c r="BH100" s="345" t="str">
        <f>IF($P100="","",MCAin!$X116*$P100)</f>
        <v/>
      </c>
      <c r="BI100" s="345" t="str">
        <f>IF($Q100="","",MCAin!$X116*$Q100)</f>
        <v/>
      </c>
      <c r="BJ100" s="345" t="str">
        <f>IF($R100="","",MCAin!$X116*$R100)</f>
        <v/>
      </c>
      <c r="BK100" s="347" t="str">
        <f>IF($S100="","",MCAin!$X116*$S100)</f>
        <v/>
      </c>
      <c r="BL100" s="463" t="str">
        <f>IF($N100="","",MCAin!$Y116*$N100)</f>
        <v/>
      </c>
      <c r="BM100" s="345" t="str">
        <f>IF($O100="","",MCAin!$Y116*$O100)</f>
        <v/>
      </c>
      <c r="BN100" s="345" t="str">
        <f>IF($P100="","",MCAin!$Y116*$P100)</f>
        <v/>
      </c>
      <c r="BO100" s="345" t="str">
        <f>IF($Q100="","",MCAin!$Y116*$Q100)</f>
        <v/>
      </c>
      <c r="BP100" s="345" t="str">
        <f>IF($R100="","",MCAin!$Y116*$R100)</f>
        <v/>
      </c>
      <c r="BQ100" s="347" t="str">
        <f>IF($S100="","",MCAin!$Y116*$S100)</f>
        <v/>
      </c>
      <c r="BR100" s="315"/>
      <c r="BS100" s="315"/>
      <c r="BT100" s="315"/>
      <c r="BU100" s="315"/>
      <c r="BV100" s="315"/>
      <c r="BW100" s="315"/>
      <c r="BX100" s="315"/>
      <c r="BY100" s="315"/>
      <c r="BZ100" s="315"/>
    </row>
    <row r="101" spans="1:78" ht="15" customHeight="1">
      <c r="A101" s="320"/>
      <c r="B101" s="118" t="str">
        <f>PTAout!D137</f>
        <v>Quality</v>
      </c>
      <c r="C101" s="321"/>
      <c r="D101" s="328" t="str">
        <f>PTAout!H137</f>
        <v/>
      </c>
      <c r="E101" s="328" t="str">
        <f>PTAout!L137</f>
        <v/>
      </c>
      <c r="F101" s="328" t="str">
        <f>PTAout!Q137</f>
        <v/>
      </c>
      <c r="G101" s="328" t="str">
        <f>PTAout!V137</f>
        <v/>
      </c>
      <c r="H101" s="328" t="str">
        <f>PTAout!AA137</f>
        <v/>
      </c>
      <c r="I101" s="328" t="str">
        <f>PTAout!AF137</f>
        <v/>
      </c>
      <c r="J101" s="489" t="str">
        <f>IF(MCAin!O117="","",MCAin!O117)</f>
        <v/>
      </c>
      <c r="K101" s="489" t="str">
        <f>IF(MCAin!P117="","",MCAin!P117)</f>
        <v/>
      </c>
      <c r="L101" s="314"/>
      <c r="M101" s="534" t="str">
        <f>IF(AND(COUNTIF(D101:I101,"&gt;=0")=$D$1,J101&gt;=0,K101&gt;=0,MCAin!$Q117=""),1,"")</f>
        <v/>
      </c>
      <c r="N101" s="492" t="str">
        <f t="shared" si="14"/>
        <v/>
      </c>
      <c r="O101" s="492" t="str">
        <f t="shared" si="14"/>
        <v/>
      </c>
      <c r="P101" s="492" t="str">
        <f t="shared" si="14"/>
        <v/>
      </c>
      <c r="Q101" s="492" t="str">
        <f t="shared" si="14"/>
        <v/>
      </c>
      <c r="R101" s="492" t="str">
        <f t="shared" si="14"/>
        <v/>
      </c>
      <c r="S101" s="492" t="str">
        <f t="shared" si="14"/>
        <v/>
      </c>
      <c r="T101" s="343"/>
      <c r="U101" s="344"/>
      <c r="V101" s="495" t="str">
        <f>IF($N101="","",MCAin!$R117*$N101)</f>
        <v/>
      </c>
      <c r="W101" s="496" t="str">
        <f>IF($O101="","",MCAin!$R117*$O101)</f>
        <v/>
      </c>
      <c r="X101" s="496" t="str">
        <f>IF($P101="","",MCAin!$R117*$P101)</f>
        <v/>
      </c>
      <c r="Y101" s="496" t="str">
        <f>IF($Q101="","",MCAin!$R117*$Q101)</f>
        <v/>
      </c>
      <c r="Z101" s="496" t="str">
        <f>IF($R101="","",MCAin!$R117*$R101)</f>
        <v/>
      </c>
      <c r="AA101" s="497" t="str">
        <f>IF($S101="","",MCAin!$R117*$S101)</f>
        <v/>
      </c>
      <c r="AB101" s="495" t="str">
        <f>IF($N101="","",MCAin!$S117*$N101)</f>
        <v/>
      </c>
      <c r="AC101" s="496" t="str">
        <f>IF($O101="","",MCAin!$S117*$O101)</f>
        <v/>
      </c>
      <c r="AD101" s="496" t="str">
        <f>IF($P101="","",MCAin!$S117*$P101)</f>
        <v/>
      </c>
      <c r="AE101" s="496" t="str">
        <f>IF($Q101="","",MCAin!$R117*$Q101)</f>
        <v/>
      </c>
      <c r="AF101" s="496" t="str">
        <f>IF($R101="","",MCAin!$R117*$R101)</f>
        <v/>
      </c>
      <c r="AG101" s="497" t="str">
        <f>IF($S101="","",MCAin!$S117*$S101)</f>
        <v/>
      </c>
      <c r="AH101" s="495" t="str">
        <f>IF($N101="","",MCAin!$T117*$N101)</f>
        <v/>
      </c>
      <c r="AI101" s="496" t="str">
        <f>IF($O101="","",MCAin!$T117*$O101)</f>
        <v/>
      </c>
      <c r="AJ101" s="496" t="str">
        <f>IF($P101="","",MCAin!$T117*$P101)</f>
        <v/>
      </c>
      <c r="AK101" s="496" t="str">
        <f>IF($Q101="","",MCAin!$T117*$Q101)</f>
        <v/>
      </c>
      <c r="AL101" s="496" t="str">
        <f>IF($R101="","",MCAin!$R117*$R101)</f>
        <v/>
      </c>
      <c r="AM101" s="497" t="str">
        <f>IF($S101="","",MCAin!$S117*$S101)</f>
        <v/>
      </c>
      <c r="AN101" s="495" t="str">
        <f>IF($N101="","",MCAin!$U117*$N101)</f>
        <v/>
      </c>
      <c r="AO101" s="496" t="str">
        <f>IF($O101="","",MCAin!$U117*$O101)</f>
        <v/>
      </c>
      <c r="AP101" s="496" t="str">
        <f>IF($P101="","",MCAin!$U117*$P101)</f>
        <v/>
      </c>
      <c r="AQ101" s="496" t="str">
        <f>IF($Q101="","",MCAin!$U117*$Q101)</f>
        <v/>
      </c>
      <c r="AR101" s="496" t="str">
        <f>IF($R101="","",MCAin!$U117*$R101)</f>
        <v/>
      </c>
      <c r="AS101" s="497" t="str">
        <f>IF($S101="","",MCAin!$U117*$S101)</f>
        <v/>
      </c>
      <c r="AT101" s="495" t="str">
        <f>IF($N101="","",MCAin!$V117*$N101)</f>
        <v/>
      </c>
      <c r="AU101" s="496" t="str">
        <f>IF($O101="","",MCAin!$V117*$O101)</f>
        <v/>
      </c>
      <c r="AV101" s="496" t="str">
        <f>IF($P101="","",MCAin!$V117*$P101)</f>
        <v/>
      </c>
      <c r="AW101" s="496" t="str">
        <f>IF($Q101="","",MCAin!$V117*$Q101)</f>
        <v/>
      </c>
      <c r="AX101" s="496" t="str">
        <f>IF($R101="","",MCAin!$V117*$R101)</f>
        <v/>
      </c>
      <c r="AY101" s="497" t="str">
        <f>IF($S101="","",MCAin!$V117*$S101)</f>
        <v/>
      </c>
      <c r="AZ101" s="495" t="str">
        <f>IF($N101="","",MCAin!$W117*$N101)</f>
        <v/>
      </c>
      <c r="BA101" s="496" t="str">
        <f>IF($O101="","",MCAin!$W117*$O101)</f>
        <v/>
      </c>
      <c r="BB101" s="496" t="str">
        <f>IF($P101="","",MCAin!$W117*$P101)</f>
        <v/>
      </c>
      <c r="BC101" s="496" t="str">
        <f>IF($Q101="","",MCAin!$W117*$Q101)</f>
        <v/>
      </c>
      <c r="BD101" s="496" t="str">
        <f>IF($R101="","",MCAin!$W117*$R101)</f>
        <v/>
      </c>
      <c r="BE101" s="497" t="str">
        <f>IF($S101="","",MCAin!$W117*$S101)</f>
        <v/>
      </c>
      <c r="BF101" s="495" t="str">
        <f>IF($N101="","",MCAin!$X117*$N101)</f>
        <v/>
      </c>
      <c r="BG101" s="496" t="str">
        <f>IF($O101="","",MCAin!$X117*$O101)</f>
        <v/>
      </c>
      <c r="BH101" s="496" t="str">
        <f>IF($P101="","",MCAin!$X117*$P101)</f>
        <v/>
      </c>
      <c r="BI101" s="496" t="str">
        <f>IF($Q101="","",MCAin!$X117*$Q101)</f>
        <v/>
      </c>
      <c r="BJ101" s="496" t="str">
        <f>IF($R101="","",MCAin!$X117*$R101)</f>
        <v/>
      </c>
      <c r="BK101" s="497" t="str">
        <f>IF($S101="","",MCAin!$X117*$S101)</f>
        <v/>
      </c>
      <c r="BL101" s="495" t="str">
        <f>IF($N101="","",MCAin!$Y117*$N101)</f>
        <v/>
      </c>
      <c r="BM101" s="496" t="str">
        <f>IF($O101="","",MCAin!$Y117*$O101)</f>
        <v/>
      </c>
      <c r="BN101" s="496" t="str">
        <f>IF($P101="","",MCAin!$Y117*$P101)</f>
        <v/>
      </c>
      <c r="BO101" s="496" t="str">
        <f>IF($Q101="","",MCAin!$Y117*$Q101)</f>
        <v/>
      </c>
      <c r="BP101" s="496" t="str">
        <f>IF($R101="","",MCAin!$Y117*$R101)</f>
        <v/>
      </c>
      <c r="BQ101" s="497" t="str">
        <f>IF($S101="","",MCAin!$Y117*$S101)</f>
        <v/>
      </c>
      <c r="BR101" s="315"/>
      <c r="BS101" s="315"/>
      <c r="BT101" s="315"/>
      <c r="BU101" s="315"/>
      <c r="BV101" s="315"/>
      <c r="BW101" s="315"/>
      <c r="BX101" s="315"/>
      <c r="BY101" s="315"/>
      <c r="BZ101" s="315"/>
    </row>
    <row r="102" spans="1:78" ht="15" customHeight="1">
      <c r="A102" s="510" t="str">
        <f>PTAout!C138</f>
        <v>Loading (goods vehicle)</v>
      </c>
      <c r="B102" s="511"/>
      <c r="C102" s="500"/>
      <c r="D102" s="501"/>
      <c r="E102" s="501"/>
      <c r="F102" s="501"/>
      <c r="G102" s="501"/>
      <c r="H102" s="501"/>
      <c r="I102" s="501"/>
      <c r="J102" s="502"/>
      <c r="K102" s="502"/>
      <c r="L102" s="503"/>
      <c r="M102" s="504"/>
      <c r="N102" s="504"/>
      <c r="O102" s="504"/>
      <c r="P102" s="504"/>
      <c r="Q102" s="504"/>
      <c r="R102" s="504"/>
      <c r="S102" s="504"/>
      <c r="T102" s="504"/>
      <c r="U102" s="504"/>
      <c r="V102" s="507"/>
      <c r="W102" s="508"/>
      <c r="X102" s="508"/>
      <c r="Y102" s="508"/>
      <c r="Z102" s="508"/>
      <c r="AA102" s="509"/>
      <c r="AB102" s="507"/>
      <c r="AC102" s="508"/>
      <c r="AD102" s="508"/>
      <c r="AE102" s="508"/>
      <c r="AF102" s="508"/>
      <c r="AG102" s="509"/>
      <c r="AH102" s="507"/>
      <c r="AI102" s="508"/>
      <c r="AJ102" s="508"/>
      <c r="AK102" s="508"/>
      <c r="AL102" s="508"/>
      <c r="AM102" s="509"/>
      <c r="AN102" s="507"/>
      <c r="AO102" s="508"/>
      <c r="AP102" s="508"/>
      <c r="AQ102" s="508"/>
      <c r="AR102" s="508"/>
      <c r="AS102" s="509"/>
      <c r="AT102" s="507"/>
      <c r="AU102" s="508"/>
      <c r="AV102" s="508"/>
      <c r="AW102" s="508"/>
      <c r="AX102" s="508"/>
      <c r="AY102" s="509"/>
      <c r="AZ102" s="507"/>
      <c r="BA102" s="508"/>
      <c r="BB102" s="508"/>
      <c r="BC102" s="508"/>
      <c r="BD102" s="508"/>
      <c r="BE102" s="509"/>
      <c r="BF102" s="507"/>
      <c r="BG102" s="508"/>
      <c r="BH102" s="508"/>
      <c r="BI102" s="508"/>
      <c r="BJ102" s="508"/>
      <c r="BK102" s="509"/>
      <c r="BL102" s="507"/>
      <c r="BM102" s="508"/>
      <c r="BN102" s="508"/>
      <c r="BO102" s="508"/>
      <c r="BP102" s="508"/>
      <c r="BQ102" s="509"/>
      <c r="BR102" s="315"/>
      <c r="BS102" s="315"/>
      <c r="BT102" s="315"/>
      <c r="BU102" s="315"/>
      <c r="BV102" s="315"/>
      <c r="BW102" s="315"/>
      <c r="BX102" s="315"/>
      <c r="BY102" s="315"/>
      <c r="BZ102" s="315"/>
    </row>
    <row r="103" spans="1:78" ht="15" customHeight="1">
      <c r="A103" s="314"/>
      <c r="B103" s="110" t="str">
        <f>PTAout!D139</f>
        <v>Space</v>
      </c>
      <c r="C103" s="316"/>
      <c r="D103" s="318" t="str">
        <f>PTAout!H139</f>
        <v/>
      </c>
      <c r="E103" s="318" t="str">
        <f>PTAout!L139</f>
        <v/>
      </c>
      <c r="F103" s="318" t="str">
        <f>PTAout!Q139</f>
        <v/>
      </c>
      <c r="G103" s="318" t="str">
        <f>PTAout!V139</f>
        <v/>
      </c>
      <c r="H103" s="318" t="str">
        <f>PTAout!AA139</f>
        <v/>
      </c>
      <c r="I103" s="318" t="str">
        <f>PTAout!AF139</f>
        <v/>
      </c>
      <c r="J103" s="484">
        <f>IF(MCAin!O119="","",MCAin!O119)</f>
        <v>0</v>
      </c>
      <c r="K103" s="484">
        <f>IF(MCAin!P119="","",MCAin!P119)</f>
        <v>4</v>
      </c>
      <c r="L103" s="314"/>
      <c r="M103" s="534" t="str">
        <f>IF(AND(COUNTIF(D103:I103,"&gt;=0")=$D$1,J103&gt;=0,K103&gt;=0,MCAin!$Q119=""),1,"")</f>
        <v/>
      </c>
      <c r="N103" s="343" t="str">
        <f t="shared" ref="N103:S106" si="15">IF(OR($M103&lt;&gt;1,D103=""),"",(D103-$J103)/($K103-$J103))</f>
        <v/>
      </c>
      <c r="O103" s="343" t="str">
        <f t="shared" si="15"/>
        <v/>
      </c>
      <c r="P103" s="343" t="str">
        <f t="shared" si="15"/>
        <v/>
      </c>
      <c r="Q103" s="343" t="str">
        <f t="shared" si="15"/>
        <v/>
      </c>
      <c r="R103" s="343" t="str">
        <f t="shared" si="15"/>
        <v/>
      </c>
      <c r="S103" s="343" t="str">
        <f t="shared" si="15"/>
        <v/>
      </c>
      <c r="T103" s="343"/>
      <c r="U103" s="344"/>
      <c r="V103" s="463" t="str">
        <f>IF($N103="","",MCAin!$R119*$N103)</f>
        <v/>
      </c>
      <c r="W103" s="345" t="str">
        <f>IF($O103="","",MCAin!$R119*$O103)</f>
        <v/>
      </c>
      <c r="X103" s="345" t="str">
        <f>IF($P103="","",MCAin!$R119*$P103)</f>
        <v/>
      </c>
      <c r="Y103" s="345" t="str">
        <f>IF($Q103="","",MCAin!$R119*$Q103)</f>
        <v/>
      </c>
      <c r="Z103" s="345" t="str">
        <f>IF($R103="","",MCAin!$R119*$R103)</f>
        <v/>
      </c>
      <c r="AA103" s="347" t="str">
        <f>IF($S103="","",MCAin!$R119*$S103)</f>
        <v/>
      </c>
      <c r="AB103" s="463" t="str">
        <f>IF($N103="","",MCAin!$S119*$N103)</f>
        <v/>
      </c>
      <c r="AC103" s="345" t="str">
        <f>IF($O103="","",MCAin!$S119*$O103)</f>
        <v/>
      </c>
      <c r="AD103" s="345" t="str">
        <f>IF($P103="","",MCAin!$S119*$P103)</f>
        <v/>
      </c>
      <c r="AE103" s="345" t="str">
        <f>IF($Q103="","",MCAin!$R119*$Q103)</f>
        <v/>
      </c>
      <c r="AF103" s="345" t="str">
        <f>IF($R103="","",MCAin!$R119*$R103)</f>
        <v/>
      </c>
      <c r="AG103" s="347" t="str">
        <f>IF($S103="","",MCAin!$S119*$S103)</f>
        <v/>
      </c>
      <c r="AH103" s="463" t="str">
        <f>IF($N103="","",MCAin!$T119*$N103)</f>
        <v/>
      </c>
      <c r="AI103" s="345" t="str">
        <f>IF($O103="","",MCAin!$T119*$O103)</f>
        <v/>
      </c>
      <c r="AJ103" s="345" t="str">
        <f>IF($P103="","",MCAin!$T119*$P103)</f>
        <v/>
      </c>
      <c r="AK103" s="345" t="str">
        <f>IF($Q103="","",MCAin!$T119*$Q103)</f>
        <v/>
      </c>
      <c r="AL103" s="345" t="str">
        <f>IF($R103="","",MCAin!$R119*$R103)</f>
        <v/>
      </c>
      <c r="AM103" s="347" t="str">
        <f>IF($S103="","",MCAin!$S119*$S103)</f>
        <v/>
      </c>
      <c r="AN103" s="463" t="str">
        <f>IF($N103="","",MCAin!$U119*$N103)</f>
        <v/>
      </c>
      <c r="AO103" s="345" t="str">
        <f>IF($O103="","",MCAin!$U119*$O103)</f>
        <v/>
      </c>
      <c r="AP103" s="345" t="str">
        <f>IF($P103="","",MCAin!$U119*$P103)</f>
        <v/>
      </c>
      <c r="AQ103" s="345" t="str">
        <f>IF($Q103="","",MCAin!$U119*$Q103)</f>
        <v/>
      </c>
      <c r="AR103" s="345" t="str">
        <f>IF($R103="","",MCAin!$U119*$R103)</f>
        <v/>
      </c>
      <c r="AS103" s="347" t="str">
        <f>IF($S103="","",MCAin!$U119*$S103)</f>
        <v/>
      </c>
      <c r="AT103" s="463" t="str">
        <f>IF($N103="","",MCAin!$V119*$N103)</f>
        <v/>
      </c>
      <c r="AU103" s="345" t="str">
        <f>IF($O103="","",MCAin!$V119*$O103)</f>
        <v/>
      </c>
      <c r="AV103" s="345" t="str">
        <f>IF($P103="","",MCAin!$V119*$P103)</f>
        <v/>
      </c>
      <c r="AW103" s="345" t="str">
        <f>IF($Q103="","",MCAin!$V119*$Q103)</f>
        <v/>
      </c>
      <c r="AX103" s="345" t="str">
        <f>IF($R103="","",MCAin!$V119*$R103)</f>
        <v/>
      </c>
      <c r="AY103" s="347" t="str">
        <f>IF($S103="","",MCAin!$V119*$S103)</f>
        <v/>
      </c>
      <c r="AZ103" s="463" t="str">
        <f>IF($N103="","",MCAin!$W119*$N103)</f>
        <v/>
      </c>
      <c r="BA103" s="345" t="str">
        <f>IF($O103="","",MCAin!$W119*$O103)</f>
        <v/>
      </c>
      <c r="BB103" s="345" t="str">
        <f>IF($P103="","",MCAin!$W119*$P103)</f>
        <v/>
      </c>
      <c r="BC103" s="345" t="str">
        <f>IF($Q103="","",MCAin!$W119*$Q103)</f>
        <v/>
      </c>
      <c r="BD103" s="345" t="str">
        <f>IF($R103="","",MCAin!$W119*$R103)</f>
        <v/>
      </c>
      <c r="BE103" s="347" t="str">
        <f>IF($S103="","",MCAin!$W119*$S103)</f>
        <v/>
      </c>
      <c r="BF103" s="463" t="str">
        <f>IF($N103="","",MCAin!$X119*$N103)</f>
        <v/>
      </c>
      <c r="BG103" s="345" t="str">
        <f>IF($O103="","",MCAin!$X119*$O103)</f>
        <v/>
      </c>
      <c r="BH103" s="345" t="str">
        <f>IF($P103="","",MCAin!$X119*$P103)</f>
        <v/>
      </c>
      <c r="BI103" s="345" t="str">
        <f>IF($Q103="","",MCAin!$X119*$Q103)</f>
        <v/>
      </c>
      <c r="BJ103" s="345" t="str">
        <f>IF($R103="","",MCAin!$X119*$R103)</f>
        <v/>
      </c>
      <c r="BK103" s="347" t="str">
        <f>IF($S103="","",MCAin!$X119*$S103)</f>
        <v/>
      </c>
      <c r="BL103" s="463" t="str">
        <f>IF($N103="","",MCAin!$Y119*$N103)</f>
        <v/>
      </c>
      <c r="BM103" s="345" t="str">
        <f>IF($O103="","",MCAin!$Y119*$O103)</f>
        <v/>
      </c>
      <c r="BN103" s="345" t="str">
        <f>IF($P103="","",MCAin!$Y119*$P103)</f>
        <v/>
      </c>
      <c r="BO103" s="345" t="str">
        <f>IF($Q103="","",MCAin!$Y119*$Q103)</f>
        <v/>
      </c>
      <c r="BP103" s="345" t="str">
        <f>IF($R103="","",MCAin!$Y119*$R103)</f>
        <v/>
      </c>
      <c r="BQ103" s="347" t="str">
        <f>IF($S103="","",MCAin!$Y119*$S103)</f>
        <v/>
      </c>
      <c r="BR103" s="315"/>
      <c r="BS103" s="315"/>
      <c r="BT103" s="315"/>
      <c r="BU103" s="315"/>
      <c r="BV103" s="315"/>
      <c r="BW103" s="315"/>
      <c r="BX103" s="315"/>
      <c r="BY103" s="315"/>
      <c r="BZ103" s="315"/>
    </row>
    <row r="104" spans="1:78" ht="15" customHeight="1">
      <c r="A104" s="314"/>
      <c r="B104" s="110" t="str">
        <f>PTAout!D140</f>
        <v>Number of activities</v>
      </c>
      <c r="C104" s="316"/>
      <c r="D104" s="327" t="str">
        <f>PTAout!H140</f>
        <v/>
      </c>
      <c r="E104" s="327" t="str">
        <f>PTAout!L140</f>
        <v/>
      </c>
      <c r="F104" s="327" t="str">
        <f>PTAout!Q140</f>
        <v/>
      </c>
      <c r="G104" s="327" t="str">
        <f>PTAout!V140</f>
        <v/>
      </c>
      <c r="H104" s="327" t="str">
        <f>PTAout!AA140</f>
        <v/>
      </c>
      <c r="I104" s="327" t="str">
        <f>PTAout!AF140</f>
        <v/>
      </c>
      <c r="J104" s="487" t="str">
        <f>IF(MCAin!O120="","",MCAin!O120)</f>
        <v/>
      </c>
      <c r="K104" s="487" t="str">
        <f>IF(MCAin!P120="","",MCAin!P120)</f>
        <v/>
      </c>
      <c r="L104" s="314"/>
      <c r="M104" s="534" t="str">
        <f>IF(AND(COUNTIF(D104:I104,"&gt;=0")=$D$1,J104&gt;=0,K104&gt;=0,MCAin!$Q120=""),1,"")</f>
        <v/>
      </c>
      <c r="N104" s="343" t="str">
        <f t="shared" si="15"/>
        <v/>
      </c>
      <c r="O104" s="343" t="str">
        <f t="shared" si="15"/>
        <v/>
      </c>
      <c r="P104" s="343" t="str">
        <f t="shared" si="15"/>
        <v/>
      </c>
      <c r="Q104" s="343" t="str">
        <f t="shared" si="15"/>
        <v/>
      </c>
      <c r="R104" s="343" t="str">
        <f t="shared" si="15"/>
        <v/>
      </c>
      <c r="S104" s="343" t="str">
        <f t="shared" si="15"/>
        <v/>
      </c>
      <c r="T104" s="343"/>
      <c r="U104" s="344"/>
      <c r="V104" s="463" t="str">
        <f>IF($N104="","",MCAin!$R120*$N104)</f>
        <v/>
      </c>
      <c r="W104" s="345" t="str">
        <f>IF($O104="","",MCAin!$R120*$O104)</f>
        <v/>
      </c>
      <c r="X104" s="345" t="str">
        <f>IF($P104="","",MCAin!$R120*$P104)</f>
        <v/>
      </c>
      <c r="Y104" s="345" t="str">
        <f>IF($Q104="","",MCAin!$R120*$Q104)</f>
        <v/>
      </c>
      <c r="Z104" s="345" t="str">
        <f>IF($R104="","",MCAin!$R120*$R104)</f>
        <v/>
      </c>
      <c r="AA104" s="347" t="str">
        <f>IF($S104="","",MCAin!$R120*$S104)</f>
        <v/>
      </c>
      <c r="AB104" s="463" t="str">
        <f>IF($N104="","",MCAin!$S120*$N104)</f>
        <v/>
      </c>
      <c r="AC104" s="345" t="str">
        <f>IF($O104="","",MCAin!$S120*$O104)</f>
        <v/>
      </c>
      <c r="AD104" s="345" t="str">
        <f>IF($P104="","",MCAin!$S120*$P104)</f>
        <v/>
      </c>
      <c r="AE104" s="345" t="str">
        <f>IF($Q104="","",MCAin!$R120*$Q104)</f>
        <v/>
      </c>
      <c r="AF104" s="345" t="str">
        <f>IF($R104="","",MCAin!$R120*$R104)</f>
        <v/>
      </c>
      <c r="AG104" s="347" t="str">
        <f>IF($S104="","",MCAin!$S120*$S104)</f>
        <v/>
      </c>
      <c r="AH104" s="463" t="str">
        <f>IF($N104="","",MCAin!$T120*$N104)</f>
        <v/>
      </c>
      <c r="AI104" s="345" t="str">
        <f>IF($O104="","",MCAin!$T120*$O104)</f>
        <v/>
      </c>
      <c r="AJ104" s="345" t="str">
        <f>IF($P104="","",MCAin!$T120*$P104)</f>
        <v/>
      </c>
      <c r="AK104" s="345" t="str">
        <f>IF($Q104="","",MCAin!$T120*$Q104)</f>
        <v/>
      </c>
      <c r="AL104" s="345" t="str">
        <f>IF($R104="","",MCAin!$R120*$R104)</f>
        <v/>
      </c>
      <c r="AM104" s="347" t="str">
        <f>IF($S104="","",MCAin!$S120*$S104)</f>
        <v/>
      </c>
      <c r="AN104" s="463" t="str">
        <f>IF($N104="","",MCAin!$U120*$N104)</f>
        <v/>
      </c>
      <c r="AO104" s="345" t="str">
        <f>IF($O104="","",MCAin!$U120*$O104)</f>
        <v/>
      </c>
      <c r="AP104" s="345" t="str">
        <f>IF($P104="","",MCAin!$U120*$P104)</f>
        <v/>
      </c>
      <c r="AQ104" s="345" t="str">
        <f>IF($Q104="","",MCAin!$U120*$Q104)</f>
        <v/>
      </c>
      <c r="AR104" s="345" t="str">
        <f>IF($R104="","",MCAin!$U120*$R104)</f>
        <v/>
      </c>
      <c r="AS104" s="347" t="str">
        <f>IF($S104="","",MCAin!$U120*$S104)</f>
        <v/>
      </c>
      <c r="AT104" s="463" t="str">
        <f>IF($N104="","",MCAin!$V120*$N104)</f>
        <v/>
      </c>
      <c r="AU104" s="345" t="str">
        <f>IF($O104="","",MCAin!$V120*$O104)</f>
        <v/>
      </c>
      <c r="AV104" s="345" t="str">
        <f>IF($P104="","",MCAin!$V120*$P104)</f>
        <v/>
      </c>
      <c r="AW104" s="345" t="str">
        <f>IF($Q104="","",MCAin!$V120*$Q104)</f>
        <v/>
      </c>
      <c r="AX104" s="345" t="str">
        <f>IF($R104="","",MCAin!$V120*$R104)</f>
        <v/>
      </c>
      <c r="AY104" s="347" t="str">
        <f>IF($S104="","",MCAin!$V120*$S104)</f>
        <v/>
      </c>
      <c r="AZ104" s="463" t="str">
        <f>IF($N104="","",MCAin!$W120*$N104)</f>
        <v/>
      </c>
      <c r="BA104" s="345" t="str">
        <f>IF($O104="","",MCAin!$W120*$O104)</f>
        <v/>
      </c>
      <c r="BB104" s="345" t="str">
        <f>IF($P104="","",MCAin!$W120*$P104)</f>
        <v/>
      </c>
      <c r="BC104" s="345" t="str">
        <f>IF($Q104="","",MCAin!$W120*$Q104)</f>
        <v/>
      </c>
      <c r="BD104" s="345" t="str">
        <f>IF($R104="","",MCAin!$W120*$R104)</f>
        <v/>
      </c>
      <c r="BE104" s="347" t="str">
        <f>IF($S104="","",MCAin!$W120*$S104)</f>
        <v/>
      </c>
      <c r="BF104" s="463" t="str">
        <f>IF($N104="","",MCAin!$X120*$N104)</f>
        <v/>
      </c>
      <c r="BG104" s="345" t="str">
        <f>IF($O104="","",MCAin!$X120*$O104)</f>
        <v/>
      </c>
      <c r="BH104" s="345" t="str">
        <f>IF($P104="","",MCAin!$X120*$P104)</f>
        <v/>
      </c>
      <c r="BI104" s="345" t="str">
        <f>IF($Q104="","",MCAin!$X120*$Q104)</f>
        <v/>
      </c>
      <c r="BJ104" s="345" t="str">
        <f>IF($R104="","",MCAin!$X120*$R104)</f>
        <v/>
      </c>
      <c r="BK104" s="347" t="str">
        <f>IF($S104="","",MCAin!$X120*$S104)</f>
        <v/>
      </c>
      <c r="BL104" s="463" t="str">
        <f>IF($N104="","",MCAin!$Y120*$N104)</f>
        <v/>
      </c>
      <c r="BM104" s="345" t="str">
        <f>IF($O104="","",MCAin!$Y120*$O104)</f>
        <v/>
      </c>
      <c r="BN104" s="345" t="str">
        <f>IF($P104="","",MCAin!$Y120*$P104)</f>
        <v/>
      </c>
      <c r="BO104" s="345" t="str">
        <f>IF($Q104="","",MCAin!$Y120*$Q104)</f>
        <v/>
      </c>
      <c r="BP104" s="345" t="str">
        <f>IF($R104="","",MCAin!$Y120*$R104)</f>
        <v/>
      </c>
      <c r="BQ104" s="347" t="str">
        <f>IF($S104="","",MCAin!$Y120*$S104)</f>
        <v/>
      </c>
      <c r="BR104" s="315"/>
      <c r="BS104" s="315"/>
      <c r="BT104" s="315"/>
      <c r="BU104" s="315"/>
      <c r="BV104" s="315"/>
      <c r="BW104" s="315"/>
      <c r="BX104" s="315"/>
      <c r="BY104" s="315"/>
      <c r="BZ104" s="315"/>
    </row>
    <row r="105" spans="1:78" ht="15" customHeight="1">
      <c r="A105" s="314"/>
      <c r="B105" s="110" t="str">
        <f>PTAout!D141</f>
        <v>Duration</v>
      </c>
      <c r="C105" s="316"/>
      <c r="D105" s="318" t="str">
        <f>PTAout!H141</f>
        <v/>
      </c>
      <c r="E105" s="318" t="str">
        <f>PTAout!L141</f>
        <v/>
      </c>
      <c r="F105" s="318" t="str">
        <f>PTAout!Q141</f>
        <v/>
      </c>
      <c r="G105" s="318" t="str">
        <f>PTAout!V141</f>
        <v/>
      </c>
      <c r="H105" s="318" t="str">
        <f>PTAout!AA141</f>
        <v/>
      </c>
      <c r="I105" s="318" t="str">
        <f>PTAout!AF141</f>
        <v/>
      </c>
      <c r="J105" s="487" t="str">
        <f>IF(MCAin!O121="","",MCAin!O121)</f>
        <v/>
      </c>
      <c r="K105" s="487" t="str">
        <f>IF(MCAin!P121="","",MCAin!P121)</f>
        <v/>
      </c>
      <c r="L105" s="314"/>
      <c r="M105" s="534" t="str">
        <f>IF(AND(COUNTIF(D105:I105,"&gt;=0")=$D$1,J105&gt;=0,K105&gt;=0,MCAin!$Q121=""),1,"")</f>
        <v/>
      </c>
      <c r="N105" s="343" t="str">
        <f t="shared" si="15"/>
        <v/>
      </c>
      <c r="O105" s="343" t="str">
        <f t="shared" si="15"/>
        <v/>
      </c>
      <c r="P105" s="343" t="str">
        <f t="shared" si="15"/>
        <v/>
      </c>
      <c r="Q105" s="343" t="str">
        <f t="shared" si="15"/>
        <v/>
      </c>
      <c r="R105" s="343" t="str">
        <f t="shared" si="15"/>
        <v/>
      </c>
      <c r="S105" s="343" t="str">
        <f t="shared" si="15"/>
        <v/>
      </c>
      <c r="T105" s="343"/>
      <c r="U105" s="344"/>
      <c r="V105" s="463" t="str">
        <f>IF($N105="","",MCAin!$R121*$N105)</f>
        <v/>
      </c>
      <c r="W105" s="345" t="str">
        <f>IF($O105="","",MCAin!$R121*$O105)</f>
        <v/>
      </c>
      <c r="X105" s="345" t="str">
        <f>IF($P105="","",MCAin!$R121*$P105)</f>
        <v/>
      </c>
      <c r="Y105" s="345" t="str">
        <f>IF($Q105="","",MCAin!$R121*$Q105)</f>
        <v/>
      </c>
      <c r="Z105" s="345" t="str">
        <f>IF($R105="","",MCAin!$R121*$R105)</f>
        <v/>
      </c>
      <c r="AA105" s="347" t="str">
        <f>IF($S105="","",MCAin!$R121*$S105)</f>
        <v/>
      </c>
      <c r="AB105" s="463" t="str">
        <f>IF($N105="","",MCAin!$S121*$N105)</f>
        <v/>
      </c>
      <c r="AC105" s="345" t="str">
        <f>IF($O105="","",MCAin!$S121*$O105)</f>
        <v/>
      </c>
      <c r="AD105" s="345" t="str">
        <f>IF($P105="","",MCAin!$S121*$P105)</f>
        <v/>
      </c>
      <c r="AE105" s="345" t="str">
        <f>IF($Q105="","",MCAin!$R121*$Q105)</f>
        <v/>
      </c>
      <c r="AF105" s="345" t="str">
        <f>IF($R105="","",MCAin!$R121*$R105)</f>
        <v/>
      </c>
      <c r="AG105" s="347" t="str">
        <f>IF($S105="","",MCAin!$S121*$S105)</f>
        <v/>
      </c>
      <c r="AH105" s="463" t="str">
        <f>IF($N105="","",MCAin!$T121*$N105)</f>
        <v/>
      </c>
      <c r="AI105" s="345" t="str">
        <f>IF($O105="","",MCAin!$T121*$O105)</f>
        <v/>
      </c>
      <c r="AJ105" s="345" t="str">
        <f>IF($P105="","",MCAin!$T121*$P105)</f>
        <v/>
      </c>
      <c r="AK105" s="345" t="str">
        <f>IF($Q105="","",MCAin!$T121*$Q105)</f>
        <v/>
      </c>
      <c r="AL105" s="345" t="str">
        <f>IF($R105="","",MCAin!$R121*$R105)</f>
        <v/>
      </c>
      <c r="AM105" s="347" t="str">
        <f>IF($S105="","",MCAin!$S121*$S105)</f>
        <v/>
      </c>
      <c r="AN105" s="463" t="str">
        <f>IF($N105="","",MCAin!$U121*$N105)</f>
        <v/>
      </c>
      <c r="AO105" s="345" t="str">
        <f>IF($O105="","",MCAin!$U121*$O105)</f>
        <v/>
      </c>
      <c r="AP105" s="345" t="str">
        <f>IF($P105="","",MCAin!$U121*$P105)</f>
        <v/>
      </c>
      <c r="AQ105" s="345" t="str">
        <f>IF($Q105="","",MCAin!$U121*$Q105)</f>
        <v/>
      </c>
      <c r="AR105" s="345" t="str">
        <f>IF($R105="","",MCAin!$U121*$R105)</f>
        <v/>
      </c>
      <c r="AS105" s="347" t="str">
        <f>IF($S105="","",MCAin!$U121*$S105)</f>
        <v/>
      </c>
      <c r="AT105" s="463" t="str">
        <f>IF($N105="","",MCAin!$V121*$N105)</f>
        <v/>
      </c>
      <c r="AU105" s="345" t="str">
        <f>IF($O105="","",MCAin!$V121*$O105)</f>
        <v/>
      </c>
      <c r="AV105" s="345" t="str">
        <f>IF($P105="","",MCAin!$V121*$P105)</f>
        <v/>
      </c>
      <c r="AW105" s="345" t="str">
        <f>IF($Q105="","",MCAin!$V121*$Q105)</f>
        <v/>
      </c>
      <c r="AX105" s="345" t="str">
        <f>IF($R105="","",MCAin!$V121*$R105)</f>
        <v/>
      </c>
      <c r="AY105" s="347" t="str">
        <f>IF($S105="","",MCAin!$V121*$S105)</f>
        <v/>
      </c>
      <c r="AZ105" s="463" t="str">
        <f>IF($N105="","",MCAin!$W121*$N105)</f>
        <v/>
      </c>
      <c r="BA105" s="345" t="str">
        <f>IF($O105="","",MCAin!$W121*$O105)</f>
        <v/>
      </c>
      <c r="BB105" s="345" t="str">
        <f>IF($P105="","",MCAin!$W121*$P105)</f>
        <v/>
      </c>
      <c r="BC105" s="345" t="str">
        <f>IF($Q105="","",MCAin!$W121*$Q105)</f>
        <v/>
      </c>
      <c r="BD105" s="345" t="str">
        <f>IF($R105="","",MCAin!$W121*$R105)</f>
        <v/>
      </c>
      <c r="BE105" s="347" t="str">
        <f>IF($S105="","",MCAin!$W121*$S105)</f>
        <v/>
      </c>
      <c r="BF105" s="463" t="str">
        <f>IF($N105="","",MCAin!$X121*$N105)</f>
        <v/>
      </c>
      <c r="BG105" s="345" t="str">
        <f>IF($O105="","",MCAin!$X121*$O105)</f>
        <v/>
      </c>
      <c r="BH105" s="345" t="str">
        <f>IF($P105="","",MCAin!$X121*$P105)</f>
        <v/>
      </c>
      <c r="BI105" s="345" t="str">
        <f>IF($Q105="","",MCAin!$X121*$Q105)</f>
        <v/>
      </c>
      <c r="BJ105" s="345" t="str">
        <f>IF($R105="","",MCAin!$X121*$R105)</f>
        <v/>
      </c>
      <c r="BK105" s="347" t="str">
        <f>IF($S105="","",MCAin!$X121*$S105)</f>
        <v/>
      </c>
      <c r="BL105" s="463" t="str">
        <f>IF($N105="","",MCAin!$Y121*$N105)</f>
        <v/>
      </c>
      <c r="BM105" s="345" t="str">
        <f>IF($O105="","",MCAin!$Y121*$O105)</f>
        <v/>
      </c>
      <c r="BN105" s="345" t="str">
        <f>IF($P105="","",MCAin!$Y121*$P105)</f>
        <v/>
      </c>
      <c r="BO105" s="345" t="str">
        <f>IF($Q105="","",MCAin!$Y121*$Q105)</f>
        <v/>
      </c>
      <c r="BP105" s="345" t="str">
        <f>IF($R105="","",MCAin!$Y121*$R105)</f>
        <v/>
      </c>
      <c r="BQ105" s="347" t="str">
        <f>IF($S105="","",MCAin!$Y121*$S105)</f>
        <v/>
      </c>
      <c r="BR105" s="315"/>
      <c r="BS105" s="315"/>
      <c r="BT105" s="315"/>
      <c r="BU105" s="315"/>
      <c r="BV105" s="315"/>
      <c r="BW105" s="315"/>
      <c r="BX105" s="315"/>
      <c r="BY105" s="315"/>
      <c r="BZ105" s="315"/>
    </row>
    <row r="106" spans="1:78" ht="15" customHeight="1">
      <c r="A106" s="320"/>
      <c r="B106" s="118" t="str">
        <f>PTAout!D142</f>
        <v>Quality</v>
      </c>
      <c r="C106" s="321"/>
      <c r="D106" s="328" t="str">
        <f>PTAout!H142</f>
        <v/>
      </c>
      <c r="E106" s="328" t="str">
        <f>PTAout!L142</f>
        <v/>
      </c>
      <c r="F106" s="328" t="str">
        <f>PTAout!Q142</f>
        <v/>
      </c>
      <c r="G106" s="328" t="str">
        <f>PTAout!V142</f>
        <v/>
      </c>
      <c r="H106" s="328" t="str">
        <f>PTAout!AA142</f>
        <v/>
      </c>
      <c r="I106" s="328" t="str">
        <f>PTAout!AF142</f>
        <v/>
      </c>
      <c r="J106" s="489" t="str">
        <f>IF(MCAin!O122="","",MCAin!O122)</f>
        <v/>
      </c>
      <c r="K106" s="489" t="str">
        <f>IF(MCAin!P122="","",MCAin!P122)</f>
        <v/>
      </c>
      <c r="L106" s="314"/>
      <c r="M106" s="534" t="str">
        <f>IF(AND(COUNTIF(D106:I106,"&gt;=0")=$D$1,J106&gt;=0,K106&gt;=0,MCAin!$Q122=""),1,"")</f>
        <v/>
      </c>
      <c r="N106" s="492" t="str">
        <f t="shared" si="15"/>
        <v/>
      </c>
      <c r="O106" s="492" t="str">
        <f t="shared" si="15"/>
        <v/>
      </c>
      <c r="P106" s="492" t="str">
        <f t="shared" si="15"/>
        <v/>
      </c>
      <c r="Q106" s="492" t="str">
        <f t="shared" si="15"/>
        <v/>
      </c>
      <c r="R106" s="492" t="str">
        <f t="shared" si="15"/>
        <v/>
      </c>
      <c r="S106" s="492" t="str">
        <f t="shared" si="15"/>
        <v/>
      </c>
      <c r="T106" s="343"/>
      <c r="U106" s="344"/>
      <c r="V106" s="495" t="str">
        <f>IF($N106="","",MCAin!$R122*$N106)</f>
        <v/>
      </c>
      <c r="W106" s="496" t="str">
        <f>IF($O106="","",MCAin!$R122*$O106)</f>
        <v/>
      </c>
      <c r="X106" s="496" t="str">
        <f>IF($P106="","",MCAin!$R122*$P106)</f>
        <v/>
      </c>
      <c r="Y106" s="496" t="str">
        <f>IF($Q106="","",MCAin!$R122*$Q106)</f>
        <v/>
      </c>
      <c r="Z106" s="496" t="str">
        <f>IF($R106="","",MCAin!$R122*$R106)</f>
        <v/>
      </c>
      <c r="AA106" s="497" t="str">
        <f>IF($S106="","",MCAin!$R122*$S106)</f>
        <v/>
      </c>
      <c r="AB106" s="495" t="str">
        <f>IF($N106="","",MCAin!$S122*$N106)</f>
        <v/>
      </c>
      <c r="AC106" s="496" t="str">
        <f>IF($O106="","",MCAin!$S122*$O106)</f>
        <v/>
      </c>
      <c r="AD106" s="496" t="str">
        <f>IF($P106="","",MCAin!$S122*$P106)</f>
        <v/>
      </c>
      <c r="AE106" s="496" t="str">
        <f>IF($Q106="","",MCAin!$R122*$Q106)</f>
        <v/>
      </c>
      <c r="AF106" s="496" t="str">
        <f>IF($R106="","",MCAin!$R122*$R106)</f>
        <v/>
      </c>
      <c r="AG106" s="497" t="str">
        <f>IF($S106="","",MCAin!$S122*$S106)</f>
        <v/>
      </c>
      <c r="AH106" s="495" t="str">
        <f>IF($N106="","",MCAin!$T122*$N106)</f>
        <v/>
      </c>
      <c r="AI106" s="496" t="str">
        <f>IF($O106="","",MCAin!$T122*$O106)</f>
        <v/>
      </c>
      <c r="AJ106" s="496" t="str">
        <f>IF($P106="","",MCAin!$T122*$P106)</f>
        <v/>
      </c>
      <c r="AK106" s="496" t="str">
        <f>IF($Q106="","",MCAin!$T122*$Q106)</f>
        <v/>
      </c>
      <c r="AL106" s="496" t="str">
        <f>IF($R106="","",MCAin!$R122*$R106)</f>
        <v/>
      </c>
      <c r="AM106" s="497" t="str">
        <f>IF($S106="","",MCAin!$S122*$S106)</f>
        <v/>
      </c>
      <c r="AN106" s="495" t="str">
        <f>IF($N106="","",MCAin!$U122*$N106)</f>
        <v/>
      </c>
      <c r="AO106" s="496" t="str">
        <f>IF($O106="","",MCAin!$U122*$O106)</f>
        <v/>
      </c>
      <c r="AP106" s="496" t="str">
        <f>IF($P106="","",MCAin!$U122*$P106)</f>
        <v/>
      </c>
      <c r="AQ106" s="496" t="str">
        <f>IF($Q106="","",MCAin!$U122*$Q106)</f>
        <v/>
      </c>
      <c r="AR106" s="496" t="str">
        <f>IF($R106="","",MCAin!$U122*$R106)</f>
        <v/>
      </c>
      <c r="AS106" s="497" t="str">
        <f>IF($S106="","",MCAin!$U122*$S106)</f>
        <v/>
      </c>
      <c r="AT106" s="495" t="str">
        <f>IF($N106="","",MCAin!$V122*$N106)</f>
        <v/>
      </c>
      <c r="AU106" s="496" t="str">
        <f>IF($O106="","",MCAin!$V122*$O106)</f>
        <v/>
      </c>
      <c r="AV106" s="496" t="str">
        <f>IF($P106="","",MCAin!$V122*$P106)</f>
        <v/>
      </c>
      <c r="AW106" s="496" t="str">
        <f>IF($Q106="","",MCAin!$V122*$Q106)</f>
        <v/>
      </c>
      <c r="AX106" s="496" t="str">
        <f>IF($R106="","",MCAin!$V122*$R106)</f>
        <v/>
      </c>
      <c r="AY106" s="497" t="str">
        <f>IF($S106="","",MCAin!$V122*$S106)</f>
        <v/>
      </c>
      <c r="AZ106" s="495" t="str">
        <f>IF($N106="","",MCAin!$W122*$N106)</f>
        <v/>
      </c>
      <c r="BA106" s="496" t="str">
        <f>IF($O106="","",MCAin!$W122*$O106)</f>
        <v/>
      </c>
      <c r="BB106" s="496" t="str">
        <f>IF($P106="","",MCAin!$W122*$P106)</f>
        <v/>
      </c>
      <c r="BC106" s="496" t="str">
        <f>IF($Q106="","",MCAin!$W122*$Q106)</f>
        <v/>
      </c>
      <c r="BD106" s="496" t="str">
        <f>IF($R106="","",MCAin!$W122*$R106)</f>
        <v/>
      </c>
      <c r="BE106" s="497" t="str">
        <f>IF($S106="","",MCAin!$W122*$S106)</f>
        <v/>
      </c>
      <c r="BF106" s="495" t="str">
        <f>IF($N106="","",MCAin!$X122*$N106)</f>
        <v/>
      </c>
      <c r="BG106" s="496" t="str">
        <f>IF($O106="","",MCAin!$X122*$O106)</f>
        <v/>
      </c>
      <c r="BH106" s="496" t="str">
        <f>IF($P106="","",MCAin!$X122*$P106)</f>
        <v/>
      </c>
      <c r="BI106" s="496" t="str">
        <f>IF($Q106="","",MCAin!$X122*$Q106)</f>
        <v/>
      </c>
      <c r="BJ106" s="496" t="str">
        <f>IF($R106="","",MCAin!$X122*$R106)</f>
        <v/>
      </c>
      <c r="BK106" s="497" t="str">
        <f>IF($S106="","",MCAin!$X122*$S106)</f>
        <v/>
      </c>
      <c r="BL106" s="495" t="str">
        <f>IF($N106="","",MCAin!$Y122*$N106)</f>
        <v/>
      </c>
      <c r="BM106" s="496" t="str">
        <f>IF($O106="","",MCAin!$Y122*$O106)</f>
        <v/>
      </c>
      <c r="BN106" s="496" t="str">
        <f>IF($P106="","",MCAin!$Y122*$P106)</f>
        <v/>
      </c>
      <c r="BO106" s="496" t="str">
        <f>IF($Q106="","",MCAin!$Y122*$Q106)</f>
        <v/>
      </c>
      <c r="BP106" s="496" t="str">
        <f>IF($R106="","",MCAin!$Y122*$R106)</f>
        <v/>
      </c>
      <c r="BQ106" s="497" t="str">
        <f>IF($S106="","",MCAin!$Y122*$S106)</f>
        <v/>
      </c>
      <c r="BR106" s="315"/>
      <c r="BS106" s="315"/>
      <c r="BT106" s="315"/>
      <c r="BU106" s="315"/>
      <c r="BV106" s="315"/>
      <c r="BW106" s="315"/>
      <c r="BX106" s="315"/>
      <c r="BY106" s="315"/>
      <c r="BZ106" s="315"/>
    </row>
    <row r="107" spans="1:78" ht="15" customHeight="1">
      <c r="A107" s="510" t="str">
        <f>PTAout!C143</f>
        <v>All people-based activities</v>
      </c>
      <c r="B107" s="511"/>
      <c r="C107" s="500"/>
      <c r="D107" s="515"/>
      <c r="E107" s="515"/>
      <c r="F107" s="515"/>
      <c r="G107" s="515"/>
      <c r="H107" s="515"/>
      <c r="I107" s="515"/>
      <c r="J107" s="502"/>
      <c r="K107" s="502"/>
      <c r="L107" s="503"/>
      <c r="M107" s="504"/>
      <c r="N107" s="504"/>
      <c r="O107" s="504"/>
      <c r="P107" s="504"/>
      <c r="Q107" s="504"/>
      <c r="R107" s="504"/>
      <c r="S107" s="504"/>
      <c r="T107" s="504"/>
      <c r="U107" s="504"/>
      <c r="V107" s="507"/>
      <c r="W107" s="508"/>
      <c r="X107" s="508"/>
      <c r="Y107" s="508"/>
      <c r="Z107" s="508"/>
      <c r="AA107" s="509"/>
      <c r="AB107" s="507"/>
      <c r="AC107" s="508"/>
      <c r="AD107" s="508"/>
      <c r="AE107" s="508"/>
      <c r="AF107" s="508"/>
      <c r="AG107" s="509"/>
      <c r="AH107" s="507"/>
      <c r="AI107" s="508"/>
      <c r="AJ107" s="508"/>
      <c r="AK107" s="508"/>
      <c r="AL107" s="508"/>
      <c r="AM107" s="509"/>
      <c r="AN107" s="507"/>
      <c r="AO107" s="508"/>
      <c r="AP107" s="508"/>
      <c r="AQ107" s="508"/>
      <c r="AR107" s="508"/>
      <c r="AS107" s="509"/>
      <c r="AT107" s="507"/>
      <c r="AU107" s="508"/>
      <c r="AV107" s="508"/>
      <c r="AW107" s="508"/>
      <c r="AX107" s="508"/>
      <c r="AY107" s="509"/>
      <c r="AZ107" s="507"/>
      <c r="BA107" s="508"/>
      <c r="BB107" s="508"/>
      <c r="BC107" s="508"/>
      <c r="BD107" s="508"/>
      <c r="BE107" s="509"/>
      <c r="BF107" s="507"/>
      <c r="BG107" s="508"/>
      <c r="BH107" s="508"/>
      <c r="BI107" s="508"/>
      <c r="BJ107" s="508"/>
      <c r="BK107" s="509"/>
      <c r="BL107" s="507"/>
      <c r="BM107" s="508"/>
      <c r="BN107" s="508"/>
      <c r="BO107" s="508"/>
      <c r="BP107" s="508"/>
      <c r="BQ107" s="509"/>
      <c r="BR107" s="315"/>
      <c r="BS107" s="315"/>
      <c r="BT107" s="315"/>
      <c r="BU107" s="315"/>
      <c r="BV107" s="315"/>
      <c r="BW107" s="315"/>
      <c r="BX107" s="315"/>
      <c r="BY107" s="315"/>
      <c r="BZ107" s="315"/>
    </row>
    <row r="108" spans="1:78" ht="15" customHeight="1">
      <c r="A108" s="314"/>
      <c r="B108" s="110" t="str">
        <f>PTAout!D144</f>
        <v>Space</v>
      </c>
      <c r="C108" s="316"/>
      <c r="D108" s="318" t="str">
        <f>PTAout!H144</f>
        <v/>
      </c>
      <c r="E108" s="318" t="str">
        <f>PTAout!L144</f>
        <v/>
      </c>
      <c r="F108" s="318" t="str">
        <f>PTAout!Q144</f>
        <v/>
      </c>
      <c r="G108" s="318" t="str">
        <f>PTAout!V144</f>
        <v/>
      </c>
      <c r="H108" s="318" t="str">
        <f>PTAout!AA144</f>
        <v/>
      </c>
      <c r="I108" s="318" t="str">
        <f>PTAout!AF144</f>
        <v/>
      </c>
      <c r="J108" s="484">
        <f>IF(MCAin!O124="","",MCAin!O124)</f>
        <v>0</v>
      </c>
      <c r="K108" s="484">
        <f>IF(MCAin!P124="","",MCAin!P124)</f>
        <v>10</v>
      </c>
      <c r="L108" s="314"/>
      <c r="M108" s="534" t="str">
        <f>IF(AND(COUNTIF(D108:I108,"&gt;=0")=$D$1,J108&gt;=0,K108&gt;=0,MCAin!$Q124=""),1,"")</f>
        <v/>
      </c>
      <c r="N108" s="343" t="str">
        <f t="shared" ref="N108:S111" si="16">IF(OR($M108&lt;&gt;1,D108=""),"",(D108-$J108)/($K108-$J108))</f>
        <v/>
      </c>
      <c r="O108" s="343" t="str">
        <f t="shared" si="16"/>
        <v/>
      </c>
      <c r="P108" s="343" t="str">
        <f t="shared" si="16"/>
        <v/>
      </c>
      <c r="Q108" s="343" t="str">
        <f t="shared" si="16"/>
        <v/>
      </c>
      <c r="R108" s="343" t="str">
        <f t="shared" si="16"/>
        <v/>
      </c>
      <c r="S108" s="343" t="str">
        <f t="shared" si="16"/>
        <v/>
      </c>
      <c r="T108" s="343"/>
      <c r="U108" s="344"/>
      <c r="V108" s="463" t="str">
        <f>IF($N108="","",MCAin!$R124*$N108)</f>
        <v/>
      </c>
      <c r="W108" s="345" t="str">
        <f>IF($O108="","",MCAin!$R124*$O108)</f>
        <v/>
      </c>
      <c r="X108" s="345" t="str">
        <f>IF($P108="","",MCAin!$R124*$P108)</f>
        <v/>
      </c>
      <c r="Y108" s="345" t="str">
        <f>IF($Q108="","",MCAin!$R124*$Q108)</f>
        <v/>
      </c>
      <c r="Z108" s="345" t="str">
        <f>IF($R108="","",MCAin!$R124*$R108)</f>
        <v/>
      </c>
      <c r="AA108" s="347" t="str">
        <f>IF($S108="","",MCAin!$R124*$S108)</f>
        <v/>
      </c>
      <c r="AB108" s="463" t="str">
        <f>IF($N108="","",MCAin!$S124*$N108)</f>
        <v/>
      </c>
      <c r="AC108" s="345" t="str">
        <f>IF($O108="","",MCAin!$S124*$O108)</f>
        <v/>
      </c>
      <c r="AD108" s="345" t="str">
        <f>IF($P108="","",MCAin!$S124*$P108)</f>
        <v/>
      </c>
      <c r="AE108" s="345" t="str">
        <f>IF($Q108="","",MCAin!$R124*$Q108)</f>
        <v/>
      </c>
      <c r="AF108" s="345" t="str">
        <f>IF($R108="","",MCAin!$R124*$R108)</f>
        <v/>
      </c>
      <c r="AG108" s="347" t="str">
        <f>IF($S108="","",MCAin!$S124*$S108)</f>
        <v/>
      </c>
      <c r="AH108" s="463" t="str">
        <f>IF($N108="","",MCAin!$T124*$N108)</f>
        <v/>
      </c>
      <c r="AI108" s="345" t="str">
        <f>IF($O108="","",MCAin!$T124*$O108)</f>
        <v/>
      </c>
      <c r="AJ108" s="345" t="str">
        <f>IF($P108="","",MCAin!$T124*$P108)</f>
        <v/>
      </c>
      <c r="AK108" s="345" t="str">
        <f>IF($Q108="","",MCAin!$T124*$Q108)</f>
        <v/>
      </c>
      <c r="AL108" s="345" t="str">
        <f>IF($R108="","",MCAin!$R124*$R108)</f>
        <v/>
      </c>
      <c r="AM108" s="347" t="str">
        <f>IF($S108="","",MCAin!$S124*$S108)</f>
        <v/>
      </c>
      <c r="AN108" s="463" t="str">
        <f>IF($N108="","",MCAin!$U124*$N108)</f>
        <v/>
      </c>
      <c r="AO108" s="345" t="str">
        <f>IF($O108="","",MCAin!$U124*$O108)</f>
        <v/>
      </c>
      <c r="AP108" s="345" t="str">
        <f>IF($P108="","",MCAin!$U124*$P108)</f>
        <v/>
      </c>
      <c r="AQ108" s="345" t="str">
        <f>IF($Q108="","",MCAin!$U124*$Q108)</f>
        <v/>
      </c>
      <c r="AR108" s="345" t="str">
        <f>IF($R108="","",MCAin!$U124*$R108)</f>
        <v/>
      </c>
      <c r="AS108" s="347" t="str">
        <f>IF($S108="","",MCAin!$U124*$S108)</f>
        <v/>
      </c>
      <c r="AT108" s="463" t="str">
        <f>IF($N108="","",MCAin!$V124*$N108)</f>
        <v/>
      </c>
      <c r="AU108" s="345" t="str">
        <f>IF($O108="","",MCAin!$V124*$O108)</f>
        <v/>
      </c>
      <c r="AV108" s="345" t="str">
        <f>IF($P108="","",MCAin!$V124*$P108)</f>
        <v/>
      </c>
      <c r="AW108" s="345" t="str">
        <f>IF($Q108="","",MCAin!$V124*$Q108)</f>
        <v/>
      </c>
      <c r="AX108" s="345" t="str">
        <f>IF($R108="","",MCAin!$V124*$R108)</f>
        <v/>
      </c>
      <c r="AY108" s="347" t="str">
        <f>IF($S108="","",MCAin!$V124*$S108)</f>
        <v/>
      </c>
      <c r="AZ108" s="463" t="str">
        <f>IF($N108="","",MCAin!$W124*$N108)</f>
        <v/>
      </c>
      <c r="BA108" s="345" t="str">
        <f>IF($O108="","",MCAin!$W124*$O108)</f>
        <v/>
      </c>
      <c r="BB108" s="345" t="str">
        <f>IF($P108="","",MCAin!$W124*$P108)</f>
        <v/>
      </c>
      <c r="BC108" s="345" t="str">
        <f>IF($Q108="","",MCAin!$W124*$Q108)</f>
        <v/>
      </c>
      <c r="BD108" s="345" t="str">
        <f>IF($R108="","",MCAin!$W124*$R108)</f>
        <v/>
      </c>
      <c r="BE108" s="347" t="str">
        <f>IF($S108="","",MCAin!$W124*$S108)</f>
        <v/>
      </c>
      <c r="BF108" s="463" t="str">
        <f>IF($N108="","",MCAin!$X124*$N108)</f>
        <v/>
      </c>
      <c r="BG108" s="345" t="str">
        <f>IF($O108="","",MCAin!$X124*$O108)</f>
        <v/>
      </c>
      <c r="BH108" s="345" t="str">
        <f>IF($P108="","",MCAin!$X124*$P108)</f>
        <v/>
      </c>
      <c r="BI108" s="345" t="str">
        <f>IF($Q108="","",MCAin!$X124*$Q108)</f>
        <v/>
      </c>
      <c r="BJ108" s="345" t="str">
        <f>IF($R108="","",MCAin!$X124*$R108)</f>
        <v/>
      </c>
      <c r="BK108" s="347" t="str">
        <f>IF($S108="","",MCAin!$X124*$S108)</f>
        <v/>
      </c>
      <c r="BL108" s="463" t="str">
        <f>IF($N108="","",MCAin!$Y124*$N108)</f>
        <v/>
      </c>
      <c r="BM108" s="345" t="str">
        <f>IF($O108="","",MCAin!$Y124*$O108)</f>
        <v/>
      </c>
      <c r="BN108" s="345" t="str">
        <f>IF($P108="","",MCAin!$Y124*$P108)</f>
        <v/>
      </c>
      <c r="BO108" s="345" t="str">
        <f>IF($Q108="","",MCAin!$Y124*$Q108)</f>
        <v/>
      </c>
      <c r="BP108" s="345" t="str">
        <f>IF($R108="","",MCAin!$Y124*$R108)</f>
        <v/>
      </c>
      <c r="BQ108" s="347" t="str">
        <f>IF($S108="","",MCAin!$Y124*$S108)</f>
        <v/>
      </c>
      <c r="BR108" s="315"/>
      <c r="BS108" s="315"/>
      <c r="BT108" s="315"/>
      <c r="BU108" s="315"/>
      <c r="BV108" s="315"/>
      <c r="BW108" s="315"/>
      <c r="BX108" s="315"/>
      <c r="BY108" s="315"/>
      <c r="BZ108" s="315"/>
    </row>
    <row r="109" spans="1:78" ht="15" customHeight="1">
      <c r="A109" s="314"/>
      <c r="B109" s="110" t="str">
        <f>PTAout!D145</f>
        <v>Number of activities</v>
      </c>
      <c r="C109" s="316"/>
      <c r="D109" s="327" t="str">
        <f>PTAout!H145</f>
        <v/>
      </c>
      <c r="E109" s="327" t="str">
        <f>PTAout!L145</f>
        <v/>
      </c>
      <c r="F109" s="327" t="str">
        <f>PTAout!Q145</f>
        <v/>
      </c>
      <c r="G109" s="327" t="str">
        <f>PTAout!V145</f>
        <v/>
      </c>
      <c r="H109" s="327" t="str">
        <f>PTAout!AA145</f>
        <v/>
      </c>
      <c r="I109" s="327" t="str">
        <f>PTAout!AF145</f>
        <v/>
      </c>
      <c r="J109" s="487" t="str">
        <f>IF(MCAin!O125="","",MCAin!O125)</f>
        <v/>
      </c>
      <c r="K109" s="487" t="str">
        <f>IF(MCAin!P125="","",MCAin!P125)</f>
        <v/>
      </c>
      <c r="L109" s="314"/>
      <c r="M109" s="534" t="str">
        <f>IF(AND(COUNTIF(D109:I109,"&gt;=0")=$D$1,J109&gt;=0,K109&gt;=0,MCAin!$Q125=""),1,"")</f>
        <v/>
      </c>
      <c r="N109" s="343" t="str">
        <f t="shared" si="16"/>
        <v/>
      </c>
      <c r="O109" s="343" t="str">
        <f t="shared" si="16"/>
        <v/>
      </c>
      <c r="P109" s="343" t="str">
        <f t="shared" si="16"/>
        <v/>
      </c>
      <c r="Q109" s="343" t="str">
        <f t="shared" si="16"/>
        <v/>
      </c>
      <c r="R109" s="343" t="str">
        <f t="shared" si="16"/>
        <v/>
      </c>
      <c r="S109" s="343" t="str">
        <f t="shared" si="16"/>
        <v/>
      </c>
      <c r="T109" s="343"/>
      <c r="U109" s="344"/>
      <c r="V109" s="463" t="str">
        <f>IF($N109="","",MCAin!$R125*$N109)</f>
        <v/>
      </c>
      <c r="W109" s="345" t="str">
        <f>IF($O109="","",MCAin!$R125*$O109)</f>
        <v/>
      </c>
      <c r="X109" s="345" t="str">
        <f>IF($P109="","",MCAin!$R125*$P109)</f>
        <v/>
      </c>
      <c r="Y109" s="345" t="str">
        <f>IF($Q109="","",MCAin!$R125*$Q109)</f>
        <v/>
      </c>
      <c r="Z109" s="345" t="str">
        <f>IF($R109="","",MCAin!$R125*$R109)</f>
        <v/>
      </c>
      <c r="AA109" s="347" t="str">
        <f>IF($S109="","",MCAin!$R125*$S109)</f>
        <v/>
      </c>
      <c r="AB109" s="463" t="str">
        <f>IF($N109="","",MCAin!$S125*$N109)</f>
        <v/>
      </c>
      <c r="AC109" s="345" t="str">
        <f>IF($O109="","",MCAin!$S125*$O109)</f>
        <v/>
      </c>
      <c r="AD109" s="345" t="str">
        <f>IF($P109="","",MCAin!$S125*$P109)</f>
        <v/>
      </c>
      <c r="AE109" s="345" t="str">
        <f>IF($Q109="","",MCAin!$R125*$Q109)</f>
        <v/>
      </c>
      <c r="AF109" s="345" t="str">
        <f>IF($R109="","",MCAin!$R125*$R109)</f>
        <v/>
      </c>
      <c r="AG109" s="347" t="str">
        <f>IF($S109="","",MCAin!$S125*$S109)</f>
        <v/>
      </c>
      <c r="AH109" s="463" t="str">
        <f>IF($N109="","",MCAin!$T125*$N109)</f>
        <v/>
      </c>
      <c r="AI109" s="345" t="str">
        <f>IF($O109="","",MCAin!$T125*$O109)</f>
        <v/>
      </c>
      <c r="AJ109" s="345" t="str">
        <f>IF($P109="","",MCAin!$T125*$P109)</f>
        <v/>
      </c>
      <c r="AK109" s="345" t="str">
        <f>IF($Q109="","",MCAin!$T125*$Q109)</f>
        <v/>
      </c>
      <c r="AL109" s="345" t="str">
        <f>IF($R109="","",MCAin!$R125*$R109)</f>
        <v/>
      </c>
      <c r="AM109" s="347" t="str">
        <f>IF($S109="","",MCAin!$S125*$S109)</f>
        <v/>
      </c>
      <c r="AN109" s="463" t="str">
        <f>IF($N109="","",MCAin!$U125*$N109)</f>
        <v/>
      </c>
      <c r="AO109" s="345" t="str">
        <f>IF($O109="","",MCAin!$U125*$O109)</f>
        <v/>
      </c>
      <c r="AP109" s="345" t="str">
        <f>IF($P109="","",MCAin!$U125*$P109)</f>
        <v/>
      </c>
      <c r="AQ109" s="345" t="str">
        <f>IF($Q109="","",MCAin!$U125*$Q109)</f>
        <v/>
      </c>
      <c r="AR109" s="345" t="str">
        <f>IF($R109="","",MCAin!$U125*$R109)</f>
        <v/>
      </c>
      <c r="AS109" s="347" t="str">
        <f>IF($S109="","",MCAin!$U125*$S109)</f>
        <v/>
      </c>
      <c r="AT109" s="463" t="str">
        <f>IF($N109="","",MCAin!$V125*$N109)</f>
        <v/>
      </c>
      <c r="AU109" s="345" t="str">
        <f>IF($O109="","",MCAin!$V125*$O109)</f>
        <v/>
      </c>
      <c r="AV109" s="345" t="str">
        <f>IF($P109="","",MCAin!$V125*$P109)</f>
        <v/>
      </c>
      <c r="AW109" s="345" t="str">
        <f>IF($Q109="","",MCAin!$V125*$Q109)</f>
        <v/>
      </c>
      <c r="AX109" s="345" t="str">
        <f>IF($R109="","",MCAin!$V125*$R109)</f>
        <v/>
      </c>
      <c r="AY109" s="347" t="str">
        <f>IF($S109="","",MCAin!$V125*$S109)</f>
        <v/>
      </c>
      <c r="AZ109" s="463" t="str">
        <f>IF($N109="","",MCAin!$W125*$N109)</f>
        <v/>
      </c>
      <c r="BA109" s="345" t="str">
        <f>IF($O109="","",MCAin!$W125*$O109)</f>
        <v/>
      </c>
      <c r="BB109" s="345" t="str">
        <f>IF($P109="","",MCAin!$W125*$P109)</f>
        <v/>
      </c>
      <c r="BC109" s="345" t="str">
        <f>IF($Q109="","",MCAin!$W125*$Q109)</f>
        <v/>
      </c>
      <c r="BD109" s="345" t="str">
        <f>IF($R109="","",MCAin!$W125*$R109)</f>
        <v/>
      </c>
      <c r="BE109" s="347" t="str">
        <f>IF($S109="","",MCAin!$W125*$S109)</f>
        <v/>
      </c>
      <c r="BF109" s="463" t="str">
        <f>IF($N109="","",MCAin!$X125*$N109)</f>
        <v/>
      </c>
      <c r="BG109" s="345" t="str">
        <f>IF($O109="","",MCAin!$X125*$O109)</f>
        <v/>
      </c>
      <c r="BH109" s="345" t="str">
        <f>IF($P109="","",MCAin!$X125*$P109)</f>
        <v/>
      </c>
      <c r="BI109" s="345" t="str">
        <f>IF($Q109="","",MCAin!$X125*$Q109)</f>
        <v/>
      </c>
      <c r="BJ109" s="345" t="str">
        <f>IF($R109="","",MCAin!$X125*$R109)</f>
        <v/>
      </c>
      <c r="BK109" s="347" t="str">
        <f>IF($S109="","",MCAin!$X125*$S109)</f>
        <v/>
      </c>
      <c r="BL109" s="463" t="str">
        <f>IF($N109="","",MCAin!$Y125*$N109)</f>
        <v/>
      </c>
      <c r="BM109" s="345" t="str">
        <f>IF($O109="","",MCAin!$Y125*$O109)</f>
        <v/>
      </c>
      <c r="BN109" s="345" t="str">
        <f>IF($P109="","",MCAin!$Y125*$P109)</f>
        <v/>
      </c>
      <c r="BO109" s="345" t="str">
        <f>IF($Q109="","",MCAin!$Y125*$Q109)</f>
        <v/>
      </c>
      <c r="BP109" s="345" t="str">
        <f>IF($R109="","",MCAin!$Y125*$R109)</f>
        <v/>
      </c>
      <c r="BQ109" s="347" t="str">
        <f>IF($S109="","",MCAin!$Y125*$S109)</f>
        <v/>
      </c>
      <c r="BR109" s="315"/>
      <c r="BS109" s="315"/>
      <c r="BT109" s="315"/>
      <c r="BU109" s="315"/>
      <c r="BV109" s="315"/>
      <c r="BW109" s="315"/>
      <c r="BX109" s="315"/>
      <c r="BY109" s="315"/>
      <c r="BZ109" s="315"/>
    </row>
    <row r="110" spans="1:78" ht="15" customHeight="1">
      <c r="A110" s="314"/>
      <c r="B110" s="110" t="str">
        <f>PTAout!D146</f>
        <v>Duration</v>
      </c>
      <c r="C110" s="316"/>
      <c r="D110" s="318" t="str">
        <f>PTAout!H146</f>
        <v/>
      </c>
      <c r="E110" s="318" t="str">
        <f>PTAout!L146</f>
        <v/>
      </c>
      <c r="F110" s="318" t="str">
        <f>PTAout!Q146</f>
        <v/>
      </c>
      <c r="G110" s="318" t="str">
        <f>PTAout!V146</f>
        <v/>
      </c>
      <c r="H110" s="318" t="str">
        <f>PTAout!AA146</f>
        <v/>
      </c>
      <c r="I110" s="318" t="str">
        <f>PTAout!AF146</f>
        <v/>
      </c>
      <c r="J110" s="487" t="str">
        <f>IF(MCAin!O126="","",MCAin!O126)</f>
        <v/>
      </c>
      <c r="K110" s="487" t="str">
        <f>IF(MCAin!P126="","",MCAin!P126)</f>
        <v/>
      </c>
      <c r="L110" s="314"/>
      <c r="M110" s="534" t="str">
        <f>IF(AND(COUNTIF(D110:I110,"&gt;=0")=$D$1,J110&gt;=0,K110&gt;=0,MCAin!$Q126=""),1,"")</f>
        <v/>
      </c>
      <c r="N110" s="343" t="str">
        <f t="shared" si="16"/>
        <v/>
      </c>
      <c r="O110" s="343" t="str">
        <f t="shared" si="16"/>
        <v/>
      </c>
      <c r="P110" s="343" t="str">
        <f t="shared" si="16"/>
        <v/>
      </c>
      <c r="Q110" s="343" t="str">
        <f t="shared" si="16"/>
        <v/>
      </c>
      <c r="R110" s="343" t="str">
        <f t="shared" si="16"/>
        <v/>
      </c>
      <c r="S110" s="343" t="str">
        <f t="shared" si="16"/>
        <v/>
      </c>
      <c r="T110" s="343"/>
      <c r="U110" s="344"/>
      <c r="V110" s="463" t="str">
        <f>IF($N110="","",MCAin!$R126*$N110)</f>
        <v/>
      </c>
      <c r="W110" s="345" t="str">
        <f>IF($O110="","",MCAin!$R126*$O110)</f>
        <v/>
      </c>
      <c r="X110" s="345" t="str">
        <f>IF($P110="","",MCAin!$R126*$P110)</f>
        <v/>
      </c>
      <c r="Y110" s="345" t="str">
        <f>IF($Q110="","",MCAin!$R126*$Q110)</f>
        <v/>
      </c>
      <c r="Z110" s="345" t="str">
        <f>IF($R110="","",MCAin!$R126*$R110)</f>
        <v/>
      </c>
      <c r="AA110" s="347" t="str">
        <f>IF($S110="","",MCAin!$R126*$S110)</f>
        <v/>
      </c>
      <c r="AB110" s="463" t="str">
        <f>IF($N110="","",MCAin!$S126*$N110)</f>
        <v/>
      </c>
      <c r="AC110" s="345" t="str">
        <f>IF($O110="","",MCAin!$S126*$O110)</f>
        <v/>
      </c>
      <c r="AD110" s="345" t="str">
        <f>IF($P110="","",MCAin!$S126*$P110)</f>
        <v/>
      </c>
      <c r="AE110" s="345" t="str">
        <f>IF($Q110="","",MCAin!$R126*$Q110)</f>
        <v/>
      </c>
      <c r="AF110" s="345" t="str">
        <f>IF($R110="","",MCAin!$R126*$R110)</f>
        <v/>
      </c>
      <c r="AG110" s="347" t="str">
        <f>IF($S110="","",MCAin!$S126*$S110)</f>
        <v/>
      </c>
      <c r="AH110" s="463" t="str">
        <f>IF($N110="","",MCAin!$T126*$N110)</f>
        <v/>
      </c>
      <c r="AI110" s="345" t="str">
        <f>IF($O110="","",MCAin!$T126*$O110)</f>
        <v/>
      </c>
      <c r="AJ110" s="345" t="str">
        <f>IF($P110="","",MCAin!$T126*$P110)</f>
        <v/>
      </c>
      <c r="AK110" s="345" t="str">
        <f>IF($Q110="","",MCAin!$T126*$Q110)</f>
        <v/>
      </c>
      <c r="AL110" s="345" t="str">
        <f>IF($R110="","",MCAin!$R126*$R110)</f>
        <v/>
      </c>
      <c r="AM110" s="347" t="str">
        <f>IF($S110="","",MCAin!$S126*$S110)</f>
        <v/>
      </c>
      <c r="AN110" s="463" t="str">
        <f>IF($N110="","",MCAin!$U126*$N110)</f>
        <v/>
      </c>
      <c r="AO110" s="345" t="str">
        <f>IF($O110="","",MCAin!$U126*$O110)</f>
        <v/>
      </c>
      <c r="AP110" s="345" t="str">
        <f>IF($P110="","",MCAin!$U126*$P110)</f>
        <v/>
      </c>
      <c r="AQ110" s="345" t="str">
        <f>IF($Q110="","",MCAin!$U126*$Q110)</f>
        <v/>
      </c>
      <c r="AR110" s="345" t="str">
        <f>IF($R110="","",MCAin!$U126*$R110)</f>
        <v/>
      </c>
      <c r="AS110" s="347" t="str">
        <f>IF($S110="","",MCAin!$U126*$S110)</f>
        <v/>
      </c>
      <c r="AT110" s="463" t="str">
        <f>IF($N110="","",MCAin!$V126*$N110)</f>
        <v/>
      </c>
      <c r="AU110" s="345" t="str">
        <f>IF($O110="","",MCAin!$V126*$O110)</f>
        <v/>
      </c>
      <c r="AV110" s="345" t="str">
        <f>IF($P110="","",MCAin!$V126*$P110)</f>
        <v/>
      </c>
      <c r="AW110" s="345" t="str">
        <f>IF($Q110="","",MCAin!$V126*$Q110)</f>
        <v/>
      </c>
      <c r="AX110" s="345" t="str">
        <f>IF($R110="","",MCAin!$V126*$R110)</f>
        <v/>
      </c>
      <c r="AY110" s="347" t="str">
        <f>IF($S110="","",MCAin!$V126*$S110)</f>
        <v/>
      </c>
      <c r="AZ110" s="463" t="str">
        <f>IF($N110="","",MCAin!$W126*$N110)</f>
        <v/>
      </c>
      <c r="BA110" s="345" t="str">
        <f>IF($O110="","",MCAin!$W126*$O110)</f>
        <v/>
      </c>
      <c r="BB110" s="345" t="str">
        <f>IF($P110="","",MCAin!$W126*$P110)</f>
        <v/>
      </c>
      <c r="BC110" s="345" t="str">
        <f>IF($Q110="","",MCAin!$W126*$Q110)</f>
        <v/>
      </c>
      <c r="BD110" s="345" t="str">
        <f>IF($R110="","",MCAin!$W126*$R110)</f>
        <v/>
      </c>
      <c r="BE110" s="347" t="str">
        <f>IF($S110="","",MCAin!$W126*$S110)</f>
        <v/>
      </c>
      <c r="BF110" s="463" t="str">
        <f>IF($N110="","",MCAin!$X126*$N110)</f>
        <v/>
      </c>
      <c r="BG110" s="345" t="str">
        <f>IF($O110="","",MCAin!$X126*$O110)</f>
        <v/>
      </c>
      <c r="BH110" s="345" t="str">
        <f>IF($P110="","",MCAin!$X126*$P110)</f>
        <v/>
      </c>
      <c r="BI110" s="345" t="str">
        <f>IF($Q110="","",MCAin!$X126*$Q110)</f>
        <v/>
      </c>
      <c r="BJ110" s="345" t="str">
        <f>IF($R110="","",MCAin!$X126*$R110)</f>
        <v/>
      </c>
      <c r="BK110" s="347" t="str">
        <f>IF($S110="","",MCAin!$X126*$S110)</f>
        <v/>
      </c>
      <c r="BL110" s="463" t="str">
        <f>IF($N110="","",MCAin!$Y126*$N110)</f>
        <v/>
      </c>
      <c r="BM110" s="345" t="str">
        <f>IF($O110="","",MCAin!$Y126*$O110)</f>
        <v/>
      </c>
      <c r="BN110" s="345" t="str">
        <f>IF($P110="","",MCAin!$Y126*$P110)</f>
        <v/>
      </c>
      <c r="BO110" s="345" t="str">
        <f>IF($Q110="","",MCAin!$Y126*$Q110)</f>
        <v/>
      </c>
      <c r="BP110" s="345" t="str">
        <f>IF($R110="","",MCAin!$Y126*$R110)</f>
        <v/>
      </c>
      <c r="BQ110" s="347" t="str">
        <f>IF($S110="","",MCAin!$Y126*$S110)</f>
        <v/>
      </c>
      <c r="BR110" s="315"/>
      <c r="BS110" s="315"/>
      <c r="BT110" s="315"/>
      <c r="BU110" s="315"/>
      <c r="BV110" s="315"/>
      <c r="BW110" s="315"/>
      <c r="BX110" s="315"/>
      <c r="BY110" s="315"/>
      <c r="BZ110" s="315"/>
    </row>
    <row r="111" spans="1:78" ht="16.5" customHeight="1">
      <c r="A111" s="320"/>
      <c r="B111" s="118" t="str">
        <f>PTAout!D147</f>
        <v>Quality</v>
      </c>
      <c r="C111" s="321"/>
      <c r="D111" s="328" t="str">
        <f>PTAout!H147</f>
        <v/>
      </c>
      <c r="E111" s="328" t="str">
        <f>PTAout!L147</f>
        <v/>
      </c>
      <c r="F111" s="328" t="str">
        <f>PTAout!Q147</f>
        <v/>
      </c>
      <c r="G111" s="328" t="str">
        <f>PTAout!V147</f>
        <v/>
      </c>
      <c r="H111" s="328" t="str">
        <f>PTAout!AA147</f>
        <v/>
      </c>
      <c r="I111" s="328" t="str">
        <f>PTAout!AF147</f>
        <v/>
      </c>
      <c r="J111" s="489" t="str">
        <f>IF(MCAin!O127="","",MCAin!O127)</f>
        <v/>
      </c>
      <c r="K111" s="489" t="str">
        <f>IF(MCAin!P127="","",MCAin!P127)</f>
        <v/>
      </c>
      <c r="L111" s="314"/>
      <c r="M111" s="534" t="str">
        <f>IF(AND(COUNTIF(D111:I111,"&gt;=0")=$D$1,J111&gt;=0,K111&gt;=0,MCAin!$Q127=""),1,"")</f>
        <v/>
      </c>
      <c r="N111" s="492" t="str">
        <f t="shared" si="16"/>
        <v/>
      </c>
      <c r="O111" s="492" t="str">
        <f t="shared" si="16"/>
        <v/>
      </c>
      <c r="P111" s="492" t="str">
        <f t="shared" si="16"/>
        <v/>
      </c>
      <c r="Q111" s="492" t="str">
        <f t="shared" si="16"/>
        <v/>
      </c>
      <c r="R111" s="492" t="str">
        <f t="shared" si="16"/>
        <v/>
      </c>
      <c r="S111" s="492" t="str">
        <f t="shared" si="16"/>
        <v/>
      </c>
      <c r="T111" s="343"/>
      <c r="U111" s="344"/>
      <c r="V111" s="495" t="str">
        <f>IF($N111="","",MCAin!$R127*$N111)</f>
        <v/>
      </c>
      <c r="W111" s="496" t="str">
        <f>IF($O111="","",MCAin!$R127*$O111)</f>
        <v/>
      </c>
      <c r="X111" s="496" t="str">
        <f>IF($P111="","",MCAin!$R127*$P111)</f>
        <v/>
      </c>
      <c r="Y111" s="496" t="str">
        <f>IF($Q111="","",MCAin!$R127*$Q111)</f>
        <v/>
      </c>
      <c r="Z111" s="496" t="str">
        <f>IF($R111="","",MCAin!$R127*$R111)</f>
        <v/>
      </c>
      <c r="AA111" s="497" t="str">
        <f>IF($S111="","",MCAin!$R127*$S111)</f>
        <v/>
      </c>
      <c r="AB111" s="495" t="str">
        <f>IF($N111="","",MCAin!$S127*$N111)</f>
        <v/>
      </c>
      <c r="AC111" s="496" t="str">
        <f>IF($O111="","",MCAin!$S127*$O111)</f>
        <v/>
      </c>
      <c r="AD111" s="496" t="str">
        <f>IF($P111="","",MCAin!$S127*$P111)</f>
        <v/>
      </c>
      <c r="AE111" s="496" t="str">
        <f>IF($Q111="","",MCAin!$R127*$Q111)</f>
        <v/>
      </c>
      <c r="AF111" s="496" t="str">
        <f>IF($R111="","",MCAin!$R127*$R111)</f>
        <v/>
      </c>
      <c r="AG111" s="497" t="str">
        <f>IF($S111="","",MCAin!$S127*$S111)</f>
        <v/>
      </c>
      <c r="AH111" s="495" t="str">
        <f>IF($N111="","",MCAin!$T127*$N111)</f>
        <v/>
      </c>
      <c r="AI111" s="496" t="str">
        <f>IF($O111="","",MCAin!$T127*$O111)</f>
        <v/>
      </c>
      <c r="AJ111" s="496" t="str">
        <f>IF($P111="","",MCAin!$T127*$P111)</f>
        <v/>
      </c>
      <c r="AK111" s="496" t="str">
        <f>IF($Q111="","",MCAin!$T127*$Q111)</f>
        <v/>
      </c>
      <c r="AL111" s="496" t="str">
        <f>IF($R111="","",MCAin!$R127*$R111)</f>
        <v/>
      </c>
      <c r="AM111" s="497" t="str">
        <f>IF($S111="","",MCAin!$S127*$S111)</f>
        <v/>
      </c>
      <c r="AN111" s="495" t="str">
        <f>IF($N111="","",MCAin!$U127*$N111)</f>
        <v/>
      </c>
      <c r="AO111" s="496" t="str">
        <f>IF($O111="","",MCAin!$U127*$O111)</f>
        <v/>
      </c>
      <c r="AP111" s="496" t="str">
        <f>IF($P111="","",MCAin!$U127*$P111)</f>
        <v/>
      </c>
      <c r="AQ111" s="496" t="str">
        <f>IF($Q111="","",MCAin!$U127*$Q111)</f>
        <v/>
      </c>
      <c r="AR111" s="496" t="str">
        <f>IF($R111="","",MCAin!$U127*$R111)</f>
        <v/>
      </c>
      <c r="AS111" s="497" t="str">
        <f>IF($S111="","",MCAin!$U127*$S111)</f>
        <v/>
      </c>
      <c r="AT111" s="495" t="str">
        <f>IF($N111="","",MCAin!$V127*$N111)</f>
        <v/>
      </c>
      <c r="AU111" s="496" t="str">
        <f>IF($O111="","",MCAin!$V127*$O111)</f>
        <v/>
      </c>
      <c r="AV111" s="496" t="str">
        <f>IF($P111="","",MCAin!$V127*$P111)</f>
        <v/>
      </c>
      <c r="AW111" s="496" t="str">
        <f>IF($Q111="","",MCAin!$V127*$Q111)</f>
        <v/>
      </c>
      <c r="AX111" s="496" t="str">
        <f>IF($R111="","",MCAin!$V127*$R111)</f>
        <v/>
      </c>
      <c r="AY111" s="497" t="str">
        <f>IF($S111="","",MCAin!$V127*$S111)</f>
        <v/>
      </c>
      <c r="AZ111" s="495" t="str">
        <f>IF($N111="","",MCAin!$W127*$N111)</f>
        <v/>
      </c>
      <c r="BA111" s="496" t="str">
        <f>IF($O111="","",MCAin!$W127*$O111)</f>
        <v/>
      </c>
      <c r="BB111" s="496" t="str">
        <f>IF($P111="","",MCAin!$W127*$P111)</f>
        <v/>
      </c>
      <c r="BC111" s="496" t="str">
        <f>IF($Q111="","",MCAin!$W127*$Q111)</f>
        <v/>
      </c>
      <c r="BD111" s="496" t="str">
        <f>IF($R111="","",MCAin!$W127*$R111)</f>
        <v/>
      </c>
      <c r="BE111" s="497" t="str">
        <f>IF($S111="","",MCAin!$W127*$S111)</f>
        <v/>
      </c>
      <c r="BF111" s="495" t="str">
        <f>IF($N111="","",MCAin!$X127*$N111)</f>
        <v/>
      </c>
      <c r="BG111" s="496" t="str">
        <f>IF($O111="","",MCAin!$X127*$O111)</f>
        <v/>
      </c>
      <c r="BH111" s="496" t="str">
        <f>IF($P111="","",MCAin!$X127*$P111)</f>
        <v/>
      </c>
      <c r="BI111" s="496" t="str">
        <f>IF($Q111="","",MCAin!$X127*$Q111)</f>
        <v/>
      </c>
      <c r="BJ111" s="496" t="str">
        <f>IF($R111="","",MCAin!$X127*$R111)</f>
        <v/>
      </c>
      <c r="BK111" s="497" t="str">
        <f>IF($S111="","",MCAin!$X127*$S111)</f>
        <v/>
      </c>
      <c r="BL111" s="495" t="str">
        <f>IF($N111="","",MCAin!$Y127*$N111)</f>
        <v/>
      </c>
      <c r="BM111" s="496" t="str">
        <f>IF($O111="","",MCAin!$Y127*$O111)</f>
        <v/>
      </c>
      <c r="BN111" s="496" t="str">
        <f>IF($P111="","",MCAin!$Y127*$P111)</f>
        <v/>
      </c>
      <c r="BO111" s="496" t="str">
        <f>IF($Q111="","",MCAin!$Y127*$Q111)</f>
        <v/>
      </c>
      <c r="BP111" s="496" t="str">
        <f>IF($R111="","",MCAin!$Y127*$R111)</f>
        <v/>
      </c>
      <c r="BQ111" s="497" t="str">
        <f>IF($S111="","",MCAin!$Y127*$S111)</f>
        <v/>
      </c>
      <c r="BR111" s="315"/>
      <c r="BS111" s="315"/>
      <c r="BT111" s="315"/>
      <c r="BU111" s="315"/>
      <c r="BV111" s="315"/>
      <c r="BW111" s="315"/>
      <c r="BX111" s="315"/>
      <c r="BY111" s="315"/>
      <c r="BZ111" s="315"/>
    </row>
    <row r="112" spans="1:78" ht="15" customHeight="1">
      <c r="A112" s="510" t="str">
        <f>PTAout!C148</f>
        <v>Strolling</v>
      </c>
      <c r="B112" s="511"/>
      <c r="C112" s="500"/>
      <c r="D112" s="516"/>
      <c r="E112" s="516"/>
      <c r="F112" s="516"/>
      <c r="G112" s="516"/>
      <c r="H112" s="516"/>
      <c r="I112" s="516"/>
      <c r="J112" s="517"/>
      <c r="K112" s="517"/>
      <c r="L112" s="503"/>
      <c r="M112" s="504"/>
      <c r="N112" s="504"/>
      <c r="O112" s="504"/>
      <c r="P112" s="504"/>
      <c r="Q112" s="504"/>
      <c r="R112" s="504"/>
      <c r="S112" s="504"/>
      <c r="T112" s="504"/>
      <c r="U112" s="504"/>
      <c r="V112" s="507"/>
      <c r="W112" s="508"/>
      <c r="X112" s="508"/>
      <c r="Y112" s="508"/>
      <c r="Z112" s="508"/>
      <c r="AA112" s="509"/>
      <c r="AB112" s="507"/>
      <c r="AC112" s="508"/>
      <c r="AD112" s="508"/>
      <c r="AE112" s="508"/>
      <c r="AF112" s="508"/>
      <c r="AG112" s="509"/>
      <c r="AH112" s="507"/>
      <c r="AI112" s="508"/>
      <c r="AJ112" s="508"/>
      <c r="AK112" s="508"/>
      <c r="AL112" s="508"/>
      <c r="AM112" s="509"/>
      <c r="AN112" s="507"/>
      <c r="AO112" s="508"/>
      <c r="AP112" s="508"/>
      <c r="AQ112" s="508"/>
      <c r="AR112" s="508"/>
      <c r="AS112" s="509"/>
      <c r="AT112" s="507"/>
      <c r="AU112" s="508"/>
      <c r="AV112" s="508"/>
      <c r="AW112" s="508"/>
      <c r="AX112" s="508"/>
      <c r="AY112" s="509"/>
      <c r="AZ112" s="507"/>
      <c r="BA112" s="508"/>
      <c r="BB112" s="508"/>
      <c r="BC112" s="508"/>
      <c r="BD112" s="508"/>
      <c r="BE112" s="509"/>
      <c r="BF112" s="507"/>
      <c r="BG112" s="508"/>
      <c r="BH112" s="508"/>
      <c r="BI112" s="508"/>
      <c r="BJ112" s="508"/>
      <c r="BK112" s="509"/>
      <c r="BL112" s="507"/>
      <c r="BM112" s="508"/>
      <c r="BN112" s="508"/>
      <c r="BO112" s="508"/>
      <c r="BP112" s="508"/>
      <c r="BQ112" s="509"/>
      <c r="BR112" s="315"/>
      <c r="BS112" s="315"/>
      <c r="BT112" s="315"/>
      <c r="BU112" s="315"/>
      <c r="BV112" s="315"/>
      <c r="BW112" s="315"/>
      <c r="BX112" s="315"/>
      <c r="BY112" s="315"/>
      <c r="BZ112" s="315"/>
    </row>
    <row r="113" spans="1:78" ht="15" customHeight="1">
      <c r="A113" s="314"/>
      <c r="B113" s="110" t="str">
        <f>PTAout!D149</f>
        <v>Space</v>
      </c>
      <c r="C113" s="316"/>
      <c r="D113" s="318" t="str">
        <f>PTAout!H149</f>
        <v/>
      </c>
      <c r="E113" s="318" t="str">
        <f>PTAout!L149</f>
        <v/>
      </c>
      <c r="F113" s="318" t="str">
        <f>PTAout!Q149</f>
        <v/>
      </c>
      <c r="G113" s="318" t="str">
        <f>PTAout!V149</f>
        <v/>
      </c>
      <c r="H113" s="318" t="str">
        <f>PTAout!AA149</f>
        <v/>
      </c>
      <c r="I113" s="318" t="str">
        <f>PTAout!AF149</f>
        <v/>
      </c>
      <c r="J113" s="484">
        <f>IF(MCAin!O129="","",MCAin!O129)</f>
        <v>0</v>
      </c>
      <c r="K113" s="484">
        <f>IF(MCAin!P129="","",MCAin!P129)</f>
        <v>10</v>
      </c>
      <c r="L113" s="314"/>
      <c r="M113" s="534" t="str">
        <f>IF(AND(COUNTIF(D113:I113,"&gt;=0")=$D$1,J113&gt;=0,K113&gt;=0,MCAin!$Q129=""),1,"")</f>
        <v/>
      </c>
      <c r="N113" s="343" t="str">
        <f t="shared" ref="N113:S116" si="17">IF(OR($M113&lt;&gt;1,D113=""),"",(D113-$J113)/($K113-$J113))</f>
        <v/>
      </c>
      <c r="O113" s="343" t="str">
        <f t="shared" si="17"/>
        <v/>
      </c>
      <c r="P113" s="343" t="str">
        <f t="shared" si="17"/>
        <v/>
      </c>
      <c r="Q113" s="343" t="str">
        <f t="shared" si="17"/>
        <v/>
      </c>
      <c r="R113" s="343" t="str">
        <f t="shared" si="17"/>
        <v/>
      </c>
      <c r="S113" s="343" t="str">
        <f t="shared" si="17"/>
        <v/>
      </c>
      <c r="T113" s="343"/>
      <c r="U113" s="344"/>
      <c r="V113" s="463" t="str">
        <f>IF($N113="","",MCAin!$R129*$N113)</f>
        <v/>
      </c>
      <c r="W113" s="345" t="str">
        <f>IF($O113="","",MCAin!$R129*$O113)</f>
        <v/>
      </c>
      <c r="X113" s="345" t="str">
        <f>IF($P113="","",MCAin!$R129*$P113)</f>
        <v/>
      </c>
      <c r="Y113" s="345" t="str">
        <f>IF($Q113="","",MCAin!$R129*$Q113)</f>
        <v/>
      </c>
      <c r="Z113" s="345" t="str">
        <f>IF($R113="","",MCAin!$R129*$R113)</f>
        <v/>
      </c>
      <c r="AA113" s="347" t="str">
        <f>IF($S113="","",MCAin!$R129*$S113)</f>
        <v/>
      </c>
      <c r="AB113" s="463" t="str">
        <f>IF($N113="","",MCAin!$S129*$N113)</f>
        <v/>
      </c>
      <c r="AC113" s="345" t="str">
        <f>IF($O113="","",MCAin!$S129*$O113)</f>
        <v/>
      </c>
      <c r="AD113" s="345" t="str">
        <f>IF($P113="","",MCAin!$S129*$P113)</f>
        <v/>
      </c>
      <c r="AE113" s="345" t="str">
        <f>IF($Q113="","",MCAin!$R129*$Q113)</f>
        <v/>
      </c>
      <c r="AF113" s="345" t="str">
        <f>IF($R113="","",MCAin!$R129*$R113)</f>
        <v/>
      </c>
      <c r="AG113" s="347" t="str">
        <f>IF($S113="","",MCAin!$S129*$S113)</f>
        <v/>
      </c>
      <c r="AH113" s="463" t="str">
        <f>IF($N113="","",MCAin!$T129*$N113)</f>
        <v/>
      </c>
      <c r="AI113" s="345" t="str">
        <f>IF($O113="","",MCAin!$T129*$O113)</f>
        <v/>
      </c>
      <c r="AJ113" s="345" t="str">
        <f>IF($P113="","",MCAin!$T129*$P113)</f>
        <v/>
      </c>
      <c r="AK113" s="345" t="str">
        <f>IF($Q113="","",MCAin!$T129*$Q113)</f>
        <v/>
      </c>
      <c r="AL113" s="345" t="str">
        <f>IF($R113="","",MCAin!$R129*$R113)</f>
        <v/>
      </c>
      <c r="AM113" s="347" t="str">
        <f>IF($S113="","",MCAin!$S129*$S113)</f>
        <v/>
      </c>
      <c r="AN113" s="463" t="str">
        <f>IF($N113="","",MCAin!$U129*$N113)</f>
        <v/>
      </c>
      <c r="AO113" s="345" t="str">
        <f>IF($O113="","",MCAin!$U129*$O113)</f>
        <v/>
      </c>
      <c r="AP113" s="345" t="str">
        <f>IF($P113="","",MCAin!$U129*$P113)</f>
        <v/>
      </c>
      <c r="AQ113" s="345" t="str">
        <f>IF($Q113="","",MCAin!$U129*$Q113)</f>
        <v/>
      </c>
      <c r="AR113" s="345" t="str">
        <f>IF($R113="","",MCAin!$U129*$R113)</f>
        <v/>
      </c>
      <c r="AS113" s="347" t="str">
        <f>IF($S113="","",MCAin!$U129*$S113)</f>
        <v/>
      </c>
      <c r="AT113" s="463" t="str">
        <f>IF($N113="","",MCAin!$V129*$N113)</f>
        <v/>
      </c>
      <c r="AU113" s="345" t="str">
        <f>IF($O113="","",MCAin!$V129*$O113)</f>
        <v/>
      </c>
      <c r="AV113" s="345" t="str">
        <f>IF($P113="","",MCAin!$V129*$P113)</f>
        <v/>
      </c>
      <c r="AW113" s="345" t="str">
        <f>IF($Q113="","",MCAin!$V129*$Q113)</f>
        <v/>
      </c>
      <c r="AX113" s="345" t="str">
        <f>IF($R113="","",MCAin!$V129*$R113)</f>
        <v/>
      </c>
      <c r="AY113" s="347" t="str">
        <f>IF($S113="","",MCAin!$V129*$S113)</f>
        <v/>
      </c>
      <c r="AZ113" s="463" t="str">
        <f>IF($N113="","",MCAin!$W129*$N113)</f>
        <v/>
      </c>
      <c r="BA113" s="345" t="str">
        <f>IF($O113="","",MCAin!$W129*$O113)</f>
        <v/>
      </c>
      <c r="BB113" s="345" t="str">
        <f>IF($P113="","",MCAin!$W129*$P113)</f>
        <v/>
      </c>
      <c r="BC113" s="345" t="str">
        <f>IF($Q113="","",MCAin!$W129*$Q113)</f>
        <v/>
      </c>
      <c r="BD113" s="345" t="str">
        <f>IF($R113="","",MCAin!$W129*$R113)</f>
        <v/>
      </c>
      <c r="BE113" s="347" t="str">
        <f>IF($S113="","",MCAin!$W129*$S113)</f>
        <v/>
      </c>
      <c r="BF113" s="463" t="str">
        <f>IF($N113="","",MCAin!$X129*$N113)</f>
        <v/>
      </c>
      <c r="BG113" s="345" t="str">
        <f>IF($O113="","",MCAin!$X129*$O113)</f>
        <v/>
      </c>
      <c r="BH113" s="345" t="str">
        <f>IF($P113="","",MCAin!$X129*$P113)</f>
        <v/>
      </c>
      <c r="BI113" s="345" t="str">
        <f>IF($Q113="","",MCAin!$X129*$Q113)</f>
        <v/>
      </c>
      <c r="BJ113" s="345" t="str">
        <f>IF($R113="","",MCAin!$X129*$R113)</f>
        <v/>
      </c>
      <c r="BK113" s="347" t="str">
        <f>IF($S113="","",MCAin!$X129*$S113)</f>
        <v/>
      </c>
      <c r="BL113" s="463" t="str">
        <f>IF($N113="","",MCAin!$Y129*$N113)</f>
        <v/>
      </c>
      <c r="BM113" s="345" t="str">
        <f>IF($O113="","",MCAin!$Y129*$O113)</f>
        <v/>
      </c>
      <c r="BN113" s="345" t="str">
        <f>IF($P113="","",MCAin!$Y129*$P113)</f>
        <v/>
      </c>
      <c r="BO113" s="345" t="str">
        <f>IF($Q113="","",MCAin!$Y129*$Q113)</f>
        <v/>
      </c>
      <c r="BP113" s="345" t="str">
        <f>IF($R113="","",MCAin!$Y129*$R113)</f>
        <v/>
      </c>
      <c r="BQ113" s="347" t="str">
        <f>IF($S113="","",MCAin!$Y129*$S113)</f>
        <v/>
      </c>
      <c r="BR113" s="315"/>
      <c r="BS113" s="315"/>
      <c r="BT113" s="315"/>
      <c r="BU113" s="315"/>
      <c r="BV113" s="315"/>
      <c r="BW113" s="315"/>
      <c r="BX113" s="315"/>
      <c r="BY113" s="315"/>
      <c r="BZ113" s="315"/>
    </row>
    <row r="114" spans="1:78" ht="15" customHeight="1">
      <c r="A114" s="314"/>
      <c r="B114" s="110" t="str">
        <f>PTAout!D150</f>
        <v>Number of activities</v>
      </c>
      <c r="C114" s="316"/>
      <c r="D114" s="327" t="str">
        <f>PTAout!H150</f>
        <v/>
      </c>
      <c r="E114" s="327" t="str">
        <f>PTAout!L150</f>
        <v/>
      </c>
      <c r="F114" s="327" t="str">
        <f>PTAout!Q150</f>
        <v/>
      </c>
      <c r="G114" s="327" t="str">
        <f>PTAout!V150</f>
        <v/>
      </c>
      <c r="H114" s="327" t="str">
        <f>PTAout!AA150</f>
        <v/>
      </c>
      <c r="I114" s="327" t="str">
        <f>PTAout!AF150</f>
        <v/>
      </c>
      <c r="J114" s="487">
        <f>IF(MCAin!O130="","",MCAin!O130)</f>
        <v>0</v>
      </c>
      <c r="K114" s="487">
        <f>IF(MCAin!P130="","",MCAin!P130)</f>
        <v>500</v>
      </c>
      <c r="L114" s="314"/>
      <c r="M114" s="534" t="str">
        <f>IF(AND(COUNTIF(D114:I114,"&gt;=0")=$D$1,J114&gt;=0,K114&gt;=0,MCAin!$Q130=""),1,"")</f>
        <v/>
      </c>
      <c r="N114" s="343" t="str">
        <f t="shared" si="17"/>
        <v/>
      </c>
      <c r="O114" s="343" t="str">
        <f t="shared" si="17"/>
        <v/>
      </c>
      <c r="P114" s="343" t="str">
        <f t="shared" si="17"/>
        <v/>
      </c>
      <c r="Q114" s="343" t="str">
        <f t="shared" si="17"/>
        <v/>
      </c>
      <c r="R114" s="343" t="str">
        <f t="shared" si="17"/>
        <v/>
      </c>
      <c r="S114" s="343" t="str">
        <f t="shared" si="17"/>
        <v/>
      </c>
      <c r="T114" s="343"/>
      <c r="U114" s="344"/>
      <c r="V114" s="463" t="str">
        <f>IF($N114="","",MCAin!$R130*$N114)</f>
        <v/>
      </c>
      <c r="W114" s="345" t="str">
        <f>IF($O114="","",MCAin!$R130*$O114)</f>
        <v/>
      </c>
      <c r="X114" s="345" t="str">
        <f>IF($P114="","",MCAin!$R130*$P114)</f>
        <v/>
      </c>
      <c r="Y114" s="345" t="str">
        <f>IF($Q114="","",MCAin!$R130*$Q114)</f>
        <v/>
      </c>
      <c r="Z114" s="345" t="str">
        <f>IF($R114="","",MCAin!$R130*$R114)</f>
        <v/>
      </c>
      <c r="AA114" s="347" t="str">
        <f>IF($S114="","",MCAin!$R130*$S114)</f>
        <v/>
      </c>
      <c r="AB114" s="463" t="str">
        <f>IF($N114="","",MCAin!$S130*$N114)</f>
        <v/>
      </c>
      <c r="AC114" s="345" t="str">
        <f>IF($O114="","",MCAin!$S130*$O114)</f>
        <v/>
      </c>
      <c r="AD114" s="345" t="str">
        <f>IF($P114="","",MCAin!$S130*$P114)</f>
        <v/>
      </c>
      <c r="AE114" s="345" t="str">
        <f>IF($Q114="","",MCAin!$R130*$Q114)</f>
        <v/>
      </c>
      <c r="AF114" s="345" t="str">
        <f>IF($R114="","",MCAin!$R130*$R114)</f>
        <v/>
      </c>
      <c r="AG114" s="347" t="str">
        <f>IF($S114="","",MCAin!$S130*$S114)</f>
        <v/>
      </c>
      <c r="AH114" s="463" t="str">
        <f>IF($N114="","",MCAin!$T130*$N114)</f>
        <v/>
      </c>
      <c r="AI114" s="345" t="str">
        <f>IF($O114="","",MCAin!$T130*$O114)</f>
        <v/>
      </c>
      <c r="AJ114" s="345" t="str">
        <f>IF($P114="","",MCAin!$T130*$P114)</f>
        <v/>
      </c>
      <c r="AK114" s="345" t="str">
        <f>IF($Q114="","",MCAin!$T130*$Q114)</f>
        <v/>
      </c>
      <c r="AL114" s="345" t="str">
        <f>IF($R114="","",MCAin!$R130*$R114)</f>
        <v/>
      </c>
      <c r="AM114" s="347" t="str">
        <f>IF($S114="","",MCAin!$S130*$S114)</f>
        <v/>
      </c>
      <c r="AN114" s="463" t="str">
        <f>IF($N114="","",MCAin!$U130*$N114)</f>
        <v/>
      </c>
      <c r="AO114" s="345" t="str">
        <f>IF($O114="","",MCAin!$U130*$O114)</f>
        <v/>
      </c>
      <c r="AP114" s="345" t="str">
        <f>IF($P114="","",MCAin!$U130*$P114)</f>
        <v/>
      </c>
      <c r="AQ114" s="345" t="str">
        <f>IF($Q114="","",MCAin!$U130*$Q114)</f>
        <v/>
      </c>
      <c r="AR114" s="345" t="str">
        <f>IF($R114="","",MCAin!$U130*$R114)</f>
        <v/>
      </c>
      <c r="AS114" s="347" t="str">
        <f>IF($S114="","",MCAin!$U130*$S114)</f>
        <v/>
      </c>
      <c r="AT114" s="463" t="str">
        <f>IF($N114="","",MCAin!$V130*$N114)</f>
        <v/>
      </c>
      <c r="AU114" s="345" t="str">
        <f>IF($O114="","",MCAin!$V130*$O114)</f>
        <v/>
      </c>
      <c r="AV114" s="345" t="str">
        <f>IF($P114="","",MCAin!$V130*$P114)</f>
        <v/>
      </c>
      <c r="AW114" s="345" t="str">
        <f>IF($Q114="","",MCAin!$V130*$Q114)</f>
        <v/>
      </c>
      <c r="AX114" s="345" t="str">
        <f>IF($R114="","",MCAin!$V130*$R114)</f>
        <v/>
      </c>
      <c r="AY114" s="347" t="str">
        <f>IF($S114="","",MCAin!$V130*$S114)</f>
        <v/>
      </c>
      <c r="AZ114" s="463" t="str">
        <f>IF($N114="","",MCAin!$W130*$N114)</f>
        <v/>
      </c>
      <c r="BA114" s="345" t="str">
        <f>IF($O114="","",MCAin!$W130*$O114)</f>
        <v/>
      </c>
      <c r="BB114" s="345" t="str">
        <f>IF($P114="","",MCAin!$W130*$P114)</f>
        <v/>
      </c>
      <c r="BC114" s="345" t="str">
        <f>IF($Q114="","",MCAin!$W130*$Q114)</f>
        <v/>
      </c>
      <c r="BD114" s="345" t="str">
        <f>IF($R114="","",MCAin!$W130*$R114)</f>
        <v/>
      </c>
      <c r="BE114" s="347" t="str">
        <f>IF($S114="","",MCAin!$W130*$S114)</f>
        <v/>
      </c>
      <c r="BF114" s="463" t="str">
        <f>IF($N114="","",MCAin!$X130*$N114)</f>
        <v/>
      </c>
      <c r="BG114" s="345" t="str">
        <f>IF($O114="","",MCAin!$X130*$O114)</f>
        <v/>
      </c>
      <c r="BH114" s="345" t="str">
        <f>IF($P114="","",MCAin!$X130*$P114)</f>
        <v/>
      </c>
      <c r="BI114" s="345" t="str">
        <f>IF($Q114="","",MCAin!$X130*$Q114)</f>
        <v/>
      </c>
      <c r="BJ114" s="345" t="str">
        <f>IF($R114="","",MCAin!$X130*$R114)</f>
        <v/>
      </c>
      <c r="BK114" s="347" t="str">
        <f>IF($S114="","",MCAin!$X130*$S114)</f>
        <v/>
      </c>
      <c r="BL114" s="463" t="str">
        <f>IF($N114="","",MCAin!$Y130*$N114)</f>
        <v/>
      </c>
      <c r="BM114" s="345" t="str">
        <f>IF($O114="","",MCAin!$Y130*$O114)</f>
        <v/>
      </c>
      <c r="BN114" s="345" t="str">
        <f>IF($P114="","",MCAin!$Y130*$P114)</f>
        <v/>
      </c>
      <c r="BO114" s="345" t="str">
        <f>IF($Q114="","",MCAin!$Y130*$Q114)</f>
        <v/>
      </c>
      <c r="BP114" s="345" t="str">
        <f>IF($R114="","",MCAin!$Y130*$R114)</f>
        <v/>
      </c>
      <c r="BQ114" s="347" t="str">
        <f>IF($S114="","",MCAin!$Y130*$S114)</f>
        <v/>
      </c>
      <c r="BR114" s="315"/>
      <c r="BS114" s="315"/>
      <c r="BT114" s="315"/>
      <c r="BU114" s="315"/>
      <c r="BV114" s="315"/>
      <c r="BW114" s="315"/>
      <c r="BX114" s="315"/>
      <c r="BY114" s="315"/>
      <c r="BZ114" s="315"/>
    </row>
    <row r="115" spans="1:78" ht="15" customHeight="1">
      <c r="A115" s="314"/>
      <c r="B115" s="110" t="str">
        <f>PTAout!D151</f>
        <v>Duration</v>
      </c>
      <c r="C115" s="316"/>
      <c r="D115" s="318" t="str">
        <f>PTAout!H151</f>
        <v/>
      </c>
      <c r="E115" s="318" t="str">
        <f>PTAout!L151</f>
        <v/>
      </c>
      <c r="F115" s="318" t="str">
        <f>PTAout!Q151</f>
        <v/>
      </c>
      <c r="G115" s="318" t="str">
        <f>PTAout!V151</f>
        <v/>
      </c>
      <c r="H115" s="318" t="str">
        <f>PTAout!AA151</f>
        <v/>
      </c>
      <c r="I115" s="318" t="str">
        <f>PTAout!AF151</f>
        <v/>
      </c>
      <c r="J115" s="487">
        <f>IF(MCAin!O131="","",MCAin!O131)</f>
        <v>0</v>
      </c>
      <c r="K115" s="487">
        <f>IF(MCAin!P131="","",MCAin!P131)</f>
        <v>20</v>
      </c>
      <c r="L115" s="314"/>
      <c r="M115" s="534" t="str">
        <f>IF(AND(COUNTIF(D115:I115,"&gt;=0")=$D$1,J115&gt;=0,K115&gt;=0,MCAin!$Q131=""),1,"")</f>
        <v/>
      </c>
      <c r="N115" s="343" t="str">
        <f t="shared" si="17"/>
        <v/>
      </c>
      <c r="O115" s="343" t="str">
        <f t="shared" si="17"/>
        <v/>
      </c>
      <c r="P115" s="343" t="str">
        <f t="shared" si="17"/>
        <v/>
      </c>
      <c r="Q115" s="343" t="str">
        <f t="shared" si="17"/>
        <v/>
      </c>
      <c r="R115" s="343" t="str">
        <f t="shared" si="17"/>
        <v/>
      </c>
      <c r="S115" s="343" t="str">
        <f t="shared" si="17"/>
        <v/>
      </c>
      <c r="T115" s="343"/>
      <c r="U115" s="344"/>
      <c r="V115" s="463" t="str">
        <f>IF($N115="","",MCAin!$R131*$N115)</f>
        <v/>
      </c>
      <c r="W115" s="345" t="str">
        <f>IF($O115="","",MCAin!$R131*$O115)</f>
        <v/>
      </c>
      <c r="X115" s="345" t="str">
        <f>IF($P115="","",MCAin!$R131*$P115)</f>
        <v/>
      </c>
      <c r="Y115" s="345" t="str">
        <f>IF($Q115="","",MCAin!$R131*$Q115)</f>
        <v/>
      </c>
      <c r="Z115" s="345" t="str">
        <f>IF($R115="","",MCAin!$R131*$R115)</f>
        <v/>
      </c>
      <c r="AA115" s="347" t="str">
        <f>IF($S115="","",MCAin!$R131*$S115)</f>
        <v/>
      </c>
      <c r="AB115" s="463" t="str">
        <f>IF($N115="","",MCAin!$S131*$N115)</f>
        <v/>
      </c>
      <c r="AC115" s="345" t="str">
        <f>IF($O115="","",MCAin!$S131*$O115)</f>
        <v/>
      </c>
      <c r="AD115" s="345" t="str">
        <f>IF($P115="","",MCAin!$S131*$P115)</f>
        <v/>
      </c>
      <c r="AE115" s="345" t="str">
        <f>IF($Q115="","",MCAin!$R131*$Q115)</f>
        <v/>
      </c>
      <c r="AF115" s="345" t="str">
        <f>IF($R115="","",MCAin!$R131*$R115)</f>
        <v/>
      </c>
      <c r="AG115" s="347" t="str">
        <f>IF($S115="","",MCAin!$S131*$S115)</f>
        <v/>
      </c>
      <c r="AH115" s="463" t="str">
        <f>IF($N115="","",MCAin!$T131*$N115)</f>
        <v/>
      </c>
      <c r="AI115" s="345" t="str">
        <f>IF($O115="","",MCAin!$T131*$O115)</f>
        <v/>
      </c>
      <c r="AJ115" s="345" t="str">
        <f>IF($P115="","",MCAin!$T131*$P115)</f>
        <v/>
      </c>
      <c r="AK115" s="345" t="str">
        <f>IF($Q115="","",MCAin!$T131*$Q115)</f>
        <v/>
      </c>
      <c r="AL115" s="345" t="str">
        <f>IF($R115="","",MCAin!$R131*$R115)</f>
        <v/>
      </c>
      <c r="AM115" s="347" t="str">
        <f>IF($S115="","",MCAin!$S131*$S115)</f>
        <v/>
      </c>
      <c r="AN115" s="463" t="str">
        <f>IF($N115="","",MCAin!$U131*$N115)</f>
        <v/>
      </c>
      <c r="AO115" s="345" t="str">
        <f>IF($O115="","",MCAin!$U131*$O115)</f>
        <v/>
      </c>
      <c r="AP115" s="345" t="str">
        <f>IF($P115="","",MCAin!$U131*$P115)</f>
        <v/>
      </c>
      <c r="AQ115" s="345" t="str">
        <f>IF($Q115="","",MCAin!$U131*$Q115)</f>
        <v/>
      </c>
      <c r="AR115" s="345" t="str">
        <f>IF($R115="","",MCAin!$U131*$R115)</f>
        <v/>
      </c>
      <c r="AS115" s="347" t="str">
        <f>IF($S115="","",MCAin!$U131*$S115)</f>
        <v/>
      </c>
      <c r="AT115" s="463" t="str">
        <f>IF($N115="","",MCAin!$V131*$N115)</f>
        <v/>
      </c>
      <c r="AU115" s="345" t="str">
        <f>IF($O115="","",MCAin!$V131*$O115)</f>
        <v/>
      </c>
      <c r="AV115" s="345" t="str">
        <f>IF($P115="","",MCAin!$V131*$P115)</f>
        <v/>
      </c>
      <c r="AW115" s="345" t="str">
        <f>IF($Q115="","",MCAin!$V131*$Q115)</f>
        <v/>
      </c>
      <c r="AX115" s="345" t="str">
        <f>IF($R115="","",MCAin!$V131*$R115)</f>
        <v/>
      </c>
      <c r="AY115" s="347" t="str">
        <f>IF($S115="","",MCAin!$V131*$S115)</f>
        <v/>
      </c>
      <c r="AZ115" s="463" t="str">
        <f>IF($N115="","",MCAin!$W131*$N115)</f>
        <v/>
      </c>
      <c r="BA115" s="345" t="str">
        <f>IF($O115="","",MCAin!$W131*$O115)</f>
        <v/>
      </c>
      <c r="BB115" s="345" t="str">
        <f>IF($P115="","",MCAin!$W131*$P115)</f>
        <v/>
      </c>
      <c r="BC115" s="345" t="str">
        <f>IF($Q115="","",MCAin!$W131*$Q115)</f>
        <v/>
      </c>
      <c r="BD115" s="345" t="str">
        <f>IF($R115="","",MCAin!$W131*$R115)</f>
        <v/>
      </c>
      <c r="BE115" s="347" t="str">
        <f>IF($S115="","",MCAin!$W131*$S115)</f>
        <v/>
      </c>
      <c r="BF115" s="463" t="str">
        <f>IF($N115="","",MCAin!$X131*$N115)</f>
        <v/>
      </c>
      <c r="BG115" s="345" t="str">
        <f>IF($O115="","",MCAin!$X131*$O115)</f>
        <v/>
      </c>
      <c r="BH115" s="345" t="str">
        <f>IF($P115="","",MCAin!$X131*$P115)</f>
        <v/>
      </c>
      <c r="BI115" s="345" t="str">
        <f>IF($Q115="","",MCAin!$X131*$Q115)</f>
        <v/>
      </c>
      <c r="BJ115" s="345" t="str">
        <f>IF($R115="","",MCAin!$X131*$R115)</f>
        <v/>
      </c>
      <c r="BK115" s="347" t="str">
        <f>IF($S115="","",MCAin!$X131*$S115)</f>
        <v/>
      </c>
      <c r="BL115" s="463" t="str">
        <f>IF($N115="","",MCAin!$Y131*$N115)</f>
        <v/>
      </c>
      <c r="BM115" s="345" t="str">
        <f>IF($O115="","",MCAin!$Y131*$O115)</f>
        <v/>
      </c>
      <c r="BN115" s="345" t="str">
        <f>IF($P115="","",MCAin!$Y131*$P115)</f>
        <v/>
      </c>
      <c r="BO115" s="345" t="str">
        <f>IF($Q115="","",MCAin!$Y131*$Q115)</f>
        <v/>
      </c>
      <c r="BP115" s="345" t="str">
        <f>IF($R115="","",MCAin!$Y131*$R115)</f>
        <v/>
      </c>
      <c r="BQ115" s="347" t="str">
        <f>IF($S115="","",MCAin!$Y131*$S115)</f>
        <v/>
      </c>
      <c r="BR115" s="315"/>
      <c r="BS115" s="315"/>
      <c r="BT115" s="315"/>
      <c r="BU115" s="315"/>
      <c r="BV115" s="315"/>
      <c r="BW115" s="315"/>
      <c r="BX115" s="315"/>
      <c r="BY115" s="315"/>
      <c r="BZ115" s="315"/>
    </row>
    <row r="116" spans="1:78" ht="15" customHeight="1">
      <c r="A116" s="320"/>
      <c r="B116" s="118" t="str">
        <f>PTAout!D152</f>
        <v>Quality</v>
      </c>
      <c r="C116" s="321"/>
      <c r="D116" s="328" t="str">
        <f>PTAout!H152</f>
        <v/>
      </c>
      <c r="E116" s="328" t="str">
        <f>PTAout!L152</f>
        <v/>
      </c>
      <c r="F116" s="328" t="str">
        <f>PTAout!Q152</f>
        <v/>
      </c>
      <c r="G116" s="328" t="str">
        <f>PTAout!V152</f>
        <v/>
      </c>
      <c r="H116" s="328" t="str">
        <f>PTAout!AA152</f>
        <v/>
      </c>
      <c r="I116" s="328" t="str">
        <f>PTAout!AF152</f>
        <v/>
      </c>
      <c r="J116" s="489">
        <f>IF(MCAin!O132="","",MCAin!O132)</f>
        <v>0</v>
      </c>
      <c r="K116" s="489">
        <f>IF(MCAin!P132="","",MCAin!P132)</f>
        <v>100</v>
      </c>
      <c r="L116" s="314"/>
      <c r="M116" s="534" t="str">
        <f>IF(AND(COUNTIF(D116:I116,"&gt;=0")=$D$1,J116&gt;=0,K116&gt;=0,MCAin!$Q132=""),1,"")</f>
        <v/>
      </c>
      <c r="N116" s="492" t="str">
        <f t="shared" si="17"/>
        <v/>
      </c>
      <c r="O116" s="492" t="str">
        <f t="shared" si="17"/>
        <v/>
      </c>
      <c r="P116" s="492" t="str">
        <f t="shared" si="17"/>
        <v/>
      </c>
      <c r="Q116" s="492" t="str">
        <f t="shared" si="17"/>
        <v/>
      </c>
      <c r="R116" s="492" t="str">
        <f t="shared" si="17"/>
        <v/>
      </c>
      <c r="S116" s="492" t="str">
        <f t="shared" si="17"/>
        <v/>
      </c>
      <c r="T116" s="343"/>
      <c r="U116" s="344"/>
      <c r="V116" s="495" t="str">
        <f>IF($N116="","",MCAin!$R132*$N116)</f>
        <v/>
      </c>
      <c r="W116" s="496" t="str">
        <f>IF($O116="","",MCAin!$R132*$O116)</f>
        <v/>
      </c>
      <c r="X116" s="496" t="str">
        <f>IF($P116="","",MCAin!$R132*$P116)</f>
        <v/>
      </c>
      <c r="Y116" s="496" t="str">
        <f>IF($Q116="","",MCAin!$R132*$Q116)</f>
        <v/>
      </c>
      <c r="Z116" s="496" t="str">
        <f>IF($R116="","",MCAin!$R132*$R116)</f>
        <v/>
      </c>
      <c r="AA116" s="497" t="str">
        <f>IF($S116="","",MCAin!$R132*$S116)</f>
        <v/>
      </c>
      <c r="AB116" s="495" t="str">
        <f>IF($N116="","",MCAin!$S132*$N116)</f>
        <v/>
      </c>
      <c r="AC116" s="496" t="str">
        <f>IF($O116="","",MCAin!$S132*$O116)</f>
        <v/>
      </c>
      <c r="AD116" s="496" t="str">
        <f>IF($P116="","",MCAin!$S132*$P116)</f>
        <v/>
      </c>
      <c r="AE116" s="496" t="str">
        <f>IF($Q116="","",MCAin!$R132*$Q116)</f>
        <v/>
      </c>
      <c r="AF116" s="496" t="str">
        <f>IF($R116="","",MCAin!$R132*$R116)</f>
        <v/>
      </c>
      <c r="AG116" s="497" t="str">
        <f>IF($S116="","",MCAin!$S132*$S116)</f>
        <v/>
      </c>
      <c r="AH116" s="495" t="str">
        <f>IF($N116="","",MCAin!$T132*$N116)</f>
        <v/>
      </c>
      <c r="AI116" s="496" t="str">
        <f>IF($O116="","",MCAin!$T132*$O116)</f>
        <v/>
      </c>
      <c r="AJ116" s="496" t="str">
        <f>IF($P116="","",MCAin!$T132*$P116)</f>
        <v/>
      </c>
      <c r="AK116" s="496" t="str">
        <f>IF($Q116="","",MCAin!$T132*$Q116)</f>
        <v/>
      </c>
      <c r="AL116" s="496" t="str">
        <f>IF($R116="","",MCAin!$R132*$R116)</f>
        <v/>
      </c>
      <c r="AM116" s="497" t="str">
        <f>IF($S116="","",MCAin!$S132*$S116)</f>
        <v/>
      </c>
      <c r="AN116" s="495" t="str">
        <f>IF($N116="","",MCAin!$U132*$N116)</f>
        <v/>
      </c>
      <c r="AO116" s="496" t="str">
        <f>IF($O116="","",MCAin!$U132*$O116)</f>
        <v/>
      </c>
      <c r="AP116" s="496" t="str">
        <f>IF($P116="","",MCAin!$U132*$P116)</f>
        <v/>
      </c>
      <c r="AQ116" s="496" t="str">
        <f>IF($Q116="","",MCAin!$U132*$Q116)</f>
        <v/>
      </c>
      <c r="AR116" s="496" t="str">
        <f>IF($R116="","",MCAin!$U132*$R116)</f>
        <v/>
      </c>
      <c r="AS116" s="497" t="str">
        <f>IF($S116="","",MCAin!$U132*$S116)</f>
        <v/>
      </c>
      <c r="AT116" s="495" t="str">
        <f>IF($N116="","",MCAin!$V132*$N116)</f>
        <v/>
      </c>
      <c r="AU116" s="496" t="str">
        <f>IF($O116="","",MCAin!$V132*$O116)</f>
        <v/>
      </c>
      <c r="AV116" s="496" t="str">
        <f>IF($P116="","",MCAin!$V132*$P116)</f>
        <v/>
      </c>
      <c r="AW116" s="496" t="str">
        <f>IF($Q116="","",MCAin!$V132*$Q116)</f>
        <v/>
      </c>
      <c r="AX116" s="496" t="str">
        <f>IF($R116="","",MCAin!$V132*$R116)</f>
        <v/>
      </c>
      <c r="AY116" s="497" t="str">
        <f>IF($S116="","",MCAin!$V132*$S116)</f>
        <v/>
      </c>
      <c r="AZ116" s="495" t="str">
        <f>IF($N116="","",MCAin!$W132*$N116)</f>
        <v/>
      </c>
      <c r="BA116" s="496" t="str">
        <f>IF($O116="","",MCAin!$W132*$O116)</f>
        <v/>
      </c>
      <c r="BB116" s="496" t="str">
        <f>IF($P116="","",MCAin!$W132*$P116)</f>
        <v/>
      </c>
      <c r="BC116" s="496" t="str">
        <f>IF($Q116="","",MCAin!$W132*$Q116)</f>
        <v/>
      </c>
      <c r="BD116" s="496" t="str">
        <f>IF($R116="","",MCAin!$W132*$R116)</f>
        <v/>
      </c>
      <c r="BE116" s="497" t="str">
        <f>IF($S116="","",MCAin!$W132*$S116)</f>
        <v/>
      </c>
      <c r="BF116" s="495" t="str">
        <f>IF($N116="","",MCAin!$X132*$N116)</f>
        <v/>
      </c>
      <c r="BG116" s="496" t="str">
        <f>IF($O116="","",MCAin!$X132*$O116)</f>
        <v/>
      </c>
      <c r="BH116" s="496" t="str">
        <f>IF($P116="","",MCAin!$X132*$P116)</f>
        <v/>
      </c>
      <c r="BI116" s="496" t="str">
        <f>IF($Q116="","",MCAin!$X132*$Q116)</f>
        <v/>
      </c>
      <c r="BJ116" s="496" t="str">
        <f>IF($R116="","",MCAin!$X132*$R116)</f>
        <v/>
      </c>
      <c r="BK116" s="497" t="str">
        <f>IF($S116="","",MCAin!$X132*$S116)</f>
        <v/>
      </c>
      <c r="BL116" s="495" t="str">
        <f>IF($N116="","",MCAin!$Y132*$N116)</f>
        <v/>
      </c>
      <c r="BM116" s="496" t="str">
        <f>IF($O116="","",MCAin!$Y132*$O116)</f>
        <v/>
      </c>
      <c r="BN116" s="496" t="str">
        <f>IF($P116="","",MCAin!$Y132*$P116)</f>
        <v/>
      </c>
      <c r="BO116" s="496" t="str">
        <f>IF($Q116="","",MCAin!$Y132*$Q116)</f>
        <v/>
      </c>
      <c r="BP116" s="496" t="str">
        <f>IF($R116="","",MCAin!$Y132*$R116)</f>
        <v/>
      </c>
      <c r="BQ116" s="497" t="str">
        <f>IF($S116="","",MCAin!$Y132*$S116)</f>
        <v/>
      </c>
      <c r="BR116" s="315"/>
      <c r="BS116" s="315"/>
      <c r="BT116" s="315"/>
      <c r="BU116" s="315"/>
      <c r="BV116" s="315"/>
      <c r="BW116" s="315"/>
      <c r="BX116" s="315"/>
      <c r="BY116" s="315"/>
      <c r="BZ116" s="315"/>
    </row>
    <row r="117" spans="1:78" ht="15" customHeight="1">
      <c r="A117" s="510" t="str">
        <f>PTAout!C153</f>
        <v>Sitting (street furniture)</v>
      </c>
      <c r="B117" s="511"/>
      <c r="C117" s="500"/>
      <c r="D117" s="515"/>
      <c r="E117" s="515"/>
      <c r="F117" s="515"/>
      <c r="G117" s="515"/>
      <c r="H117" s="515"/>
      <c r="I117" s="515"/>
      <c r="J117" s="502"/>
      <c r="K117" s="502"/>
      <c r="L117" s="503"/>
      <c r="M117" s="504"/>
      <c r="N117" s="504"/>
      <c r="O117" s="504"/>
      <c r="P117" s="504"/>
      <c r="Q117" s="504"/>
      <c r="R117" s="504"/>
      <c r="S117" s="504"/>
      <c r="T117" s="504"/>
      <c r="U117" s="504"/>
      <c r="V117" s="507"/>
      <c r="W117" s="508"/>
      <c r="X117" s="508"/>
      <c r="Y117" s="508"/>
      <c r="Z117" s="508"/>
      <c r="AA117" s="509"/>
      <c r="AB117" s="507"/>
      <c r="AC117" s="508"/>
      <c r="AD117" s="508"/>
      <c r="AE117" s="508"/>
      <c r="AF117" s="508"/>
      <c r="AG117" s="509"/>
      <c r="AH117" s="507"/>
      <c r="AI117" s="508"/>
      <c r="AJ117" s="508"/>
      <c r="AK117" s="508"/>
      <c r="AL117" s="508"/>
      <c r="AM117" s="509"/>
      <c r="AN117" s="507"/>
      <c r="AO117" s="508"/>
      <c r="AP117" s="508"/>
      <c r="AQ117" s="508"/>
      <c r="AR117" s="508"/>
      <c r="AS117" s="509"/>
      <c r="AT117" s="507"/>
      <c r="AU117" s="508"/>
      <c r="AV117" s="508"/>
      <c r="AW117" s="508"/>
      <c r="AX117" s="508"/>
      <c r="AY117" s="509"/>
      <c r="AZ117" s="507"/>
      <c r="BA117" s="508"/>
      <c r="BB117" s="508"/>
      <c r="BC117" s="508"/>
      <c r="BD117" s="508"/>
      <c r="BE117" s="509"/>
      <c r="BF117" s="507"/>
      <c r="BG117" s="508"/>
      <c r="BH117" s="508"/>
      <c r="BI117" s="508"/>
      <c r="BJ117" s="508"/>
      <c r="BK117" s="509"/>
      <c r="BL117" s="507"/>
      <c r="BM117" s="508"/>
      <c r="BN117" s="508"/>
      <c r="BO117" s="508"/>
      <c r="BP117" s="508"/>
      <c r="BQ117" s="509"/>
      <c r="BR117" s="315"/>
      <c r="BS117" s="315"/>
      <c r="BT117" s="315"/>
      <c r="BU117" s="315"/>
      <c r="BV117" s="315"/>
      <c r="BW117" s="315"/>
      <c r="BX117" s="315"/>
      <c r="BY117" s="315"/>
      <c r="BZ117" s="315"/>
    </row>
    <row r="118" spans="1:78" ht="15" customHeight="1">
      <c r="A118" s="314"/>
      <c r="B118" s="110" t="str">
        <f>PTAout!D154</f>
        <v>Space</v>
      </c>
      <c r="C118" s="316"/>
      <c r="D118" s="318" t="str">
        <f>PTAout!H154</f>
        <v/>
      </c>
      <c r="E118" s="318" t="str">
        <f>PTAout!L154</f>
        <v/>
      </c>
      <c r="F118" s="318" t="str">
        <f>PTAout!Q154</f>
        <v/>
      </c>
      <c r="G118" s="318" t="str">
        <f>PTAout!V154</f>
        <v/>
      </c>
      <c r="H118" s="318" t="str">
        <f>PTAout!AA154</f>
        <v/>
      </c>
      <c r="I118" s="318" t="str">
        <f>PTAout!AF154</f>
        <v/>
      </c>
      <c r="J118" s="484">
        <f>IF(MCAin!O134="","",MCAin!O134)</f>
        <v>0</v>
      </c>
      <c r="K118" s="484">
        <f>IF(MCAin!P134="","",MCAin!P134)</f>
        <v>10</v>
      </c>
      <c r="L118" s="314"/>
      <c r="M118" s="534" t="str">
        <f>IF(AND(COUNTIF(D118:I118,"&gt;=0")=$D$1,J118&gt;=0,K118&gt;=0,MCAin!$Q134=""),1,"")</f>
        <v/>
      </c>
      <c r="N118" s="343" t="str">
        <f t="shared" ref="N118:S121" si="18">IF(OR($M118&lt;&gt;1,D118=""),"",(D118-$J118)/($K118-$J118))</f>
        <v/>
      </c>
      <c r="O118" s="343" t="str">
        <f t="shared" si="18"/>
        <v/>
      </c>
      <c r="P118" s="343" t="str">
        <f t="shared" si="18"/>
        <v/>
      </c>
      <c r="Q118" s="343" t="str">
        <f t="shared" si="18"/>
        <v/>
      </c>
      <c r="R118" s="343" t="str">
        <f t="shared" si="18"/>
        <v/>
      </c>
      <c r="S118" s="343" t="str">
        <f t="shared" si="18"/>
        <v/>
      </c>
      <c r="T118" s="343"/>
      <c r="U118" s="344"/>
      <c r="V118" s="463" t="str">
        <f>IF($N118="","",MCAin!$R134*$N118)</f>
        <v/>
      </c>
      <c r="W118" s="345" t="str">
        <f>IF($O118="","",MCAin!$R134*$O118)</f>
        <v/>
      </c>
      <c r="X118" s="345" t="str">
        <f>IF($P118="","",MCAin!$R134*$P118)</f>
        <v/>
      </c>
      <c r="Y118" s="345" t="str">
        <f>IF($Q118="","",MCAin!$R134*$Q118)</f>
        <v/>
      </c>
      <c r="Z118" s="345" t="str">
        <f>IF($R118="","",MCAin!$R134*$R118)</f>
        <v/>
      </c>
      <c r="AA118" s="347" t="str">
        <f>IF($S118="","",MCAin!$R134*$S118)</f>
        <v/>
      </c>
      <c r="AB118" s="463" t="str">
        <f>IF($N118="","",MCAin!$S134*$N118)</f>
        <v/>
      </c>
      <c r="AC118" s="345" t="str">
        <f>IF($O118="","",MCAin!$S134*$O118)</f>
        <v/>
      </c>
      <c r="AD118" s="345" t="str">
        <f>IF($P118="","",MCAin!$S134*$P118)</f>
        <v/>
      </c>
      <c r="AE118" s="345" t="str">
        <f>IF($Q118="","",MCAin!$R134*$Q118)</f>
        <v/>
      </c>
      <c r="AF118" s="345" t="str">
        <f>IF($R118="","",MCAin!$R134*$R118)</f>
        <v/>
      </c>
      <c r="AG118" s="347" t="str">
        <f>IF($S118="","",MCAin!$S134*$S118)</f>
        <v/>
      </c>
      <c r="AH118" s="463" t="str">
        <f>IF($N118="","",MCAin!$T134*$N118)</f>
        <v/>
      </c>
      <c r="AI118" s="345" t="str">
        <f>IF($O118="","",MCAin!$T134*$O118)</f>
        <v/>
      </c>
      <c r="AJ118" s="345" t="str">
        <f>IF($P118="","",MCAin!$T134*$P118)</f>
        <v/>
      </c>
      <c r="AK118" s="345" t="str">
        <f>IF($Q118="","",MCAin!$T134*$Q118)</f>
        <v/>
      </c>
      <c r="AL118" s="345" t="str">
        <f>IF($R118="","",MCAin!$R134*$R118)</f>
        <v/>
      </c>
      <c r="AM118" s="347" t="str">
        <f>IF($S118="","",MCAin!$S134*$S118)</f>
        <v/>
      </c>
      <c r="AN118" s="463" t="str">
        <f>IF($N118="","",MCAin!$U134*$N118)</f>
        <v/>
      </c>
      <c r="AO118" s="345" t="str">
        <f>IF($O118="","",MCAin!$U134*$O118)</f>
        <v/>
      </c>
      <c r="AP118" s="345" t="str">
        <f>IF($P118="","",MCAin!$U134*$P118)</f>
        <v/>
      </c>
      <c r="AQ118" s="345" t="str">
        <f>IF($Q118="","",MCAin!$U134*$Q118)</f>
        <v/>
      </c>
      <c r="AR118" s="345" t="str">
        <f>IF($R118="","",MCAin!$U134*$R118)</f>
        <v/>
      </c>
      <c r="AS118" s="347" t="str">
        <f>IF($S118="","",MCAin!$U134*$S118)</f>
        <v/>
      </c>
      <c r="AT118" s="463" t="str">
        <f>IF($N118="","",MCAin!$V134*$N118)</f>
        <v/>
      </c>
      <c r="AU118" s="345" t="str">
        <f>IF($O118="","",MCAin!$V134*$O118)</f>
        <v/>
      </c>
      <c r="AV118" s="345" t="str">
        <f>IF($P118="","",MCAin!$V134*$P118)</f>
        <v/>
      </c>
      <c r="AW118" s="345" t="str">
        <f>IF($Q118="","",MCAin!$V134*$Q118)</f>
        <v/>
      </c>
      <c r="AX118" s="345" t="str">
        <f>IF($R118="","",MCAin!$V134*$R118)</f>
        <v/>
      </c>
      <c r="AY118" s="347" t="str">
        <f>IF($S118="","",MCAin!$V134*$S118)</f>
        <v/>
      </c>
      <c r="AZ118" s="463" t="str">
        <f>IF($N118="","",MCAin!$W134*$N118)</f>
        <v/>
      </c>
      <c r="BA118" s="345" t="str">
        <f>IF($O118="","",MCAin!$W134*$O118)</f>
        <v/>
      </c>
      <c r="BB118" s="345" t="str">
        <f>IF($P118="","",MCAin!$W134*$P118)</f>
        <v/>
      </c>
      <c r="BC118" s="345" t="str">
        <f>IF($Q118="","",MCAin!$W134*$Q118)</f>
        <v/>
      </c>
      <c r="BD118" s="345" t="str">
        <f>IF($R118="","",MCAin!$W134*$R118)</f>
        <v/>
      </c>
      <c r="BE118" s="347" t="str">
        <f>IF($S118="","",MCAin!$W134*$S118)</f>
        <v/>
      </c>
      <c r="BF118" s="463" t="str">
        <f>IF($N118="","",MCAin!$X134*$N118)</f>
        <v/>
      </c>
      <c r="BG118" s="345" t="str">
        <f>IF($O118="","",MCAin!$X134*$O118)</f>
        <v/>
      </c>
      <c r="BH118" s="345" t="str">
        <f>IF($P118="","",MCAin!$X134*$P118)</f>
        <v/>
      </c>
      <c r="BI118" s="345" t="str">
        <f>IF($Q118="","",MCAin!$X134*$Q118)</f>
        <v/>
      </c>
      <c r="BJ118" s="345" t="str">
        <f>IF($R118="","",MCAin!$X134*$R118)</f>
        <v/>
      </c>
      <c r="BK118" s="347" t="str">
        <f>IF($S118="","",MCAin!$X134*$S118)</f>
        <v/>
      </c>
      <c r="BL118" s="463" t="str">
        <f>IF($N118="","",MCAin!$Y134*$N118)</f>
        <v/>
      </c>
      <c r="BM118" s="345" t="str">
        <f>IF($O118="","",MCAin!$Y134*$O118)</f>
        <v/>
      </c>
      <c r="BN118" s="345" t="str">
        <f>IF($P118="","",MCAin!$Y134*$P118)</f>
        <v/>
      </c>
      <c r="BO118" s="345" t="str">
        <f>IF($Q118="","",MCAin!$Y134*$Q118)</f>
        <v/>
      </c>
      <c r="BP118" s="345" t="str">
        <f>IF($R118="","",MCAin!$Y134*$R118)</f>
        <v/>
      </c>
      <c r="BQ118" s="347" t="str">
        <f>IF($S118="","",MCAin!$Y134*$S118)</f>
        <v/>
      </c>
      <c r="BR118" s="315"/>
      <c r="BS118" s="315"/>
      <c r="BT118" s="315"/>
      <c r="BU118" s="315"/>
      <c r="BV118" s="315"/>
      <c r="BW118" s="315"/>
      <c r="BX118" s="315"/>
      <c r="BY118" s="315"/>
      <c r="BZ118" s="315"/>
    </row>
    <row r="119" spans="1:78" ht="15" customHeight="1">
      <c r="A119" s="314"/>
      <c r="B119" s="110" t="str">
        <f>PTAout!D155</f>
        <v>Number of activities</v>
      </c>
      <c r="C119" s="316"/>
      <c r="D119" s="327" t="str">
        <f>PTAout!H155</f>
        <v/>
      </c>
      <c r="E119" s="327" t="str">
        <f>PTAout!L155</f>
        <v/>
      </c>
      <c r="F119" s="327" t="str">
        <f>PTAout!Q155</f>
        <v/>
      </c>
      <c r="G119" s="327" t="str">
        <f>PTAout!V155</f>
        <v/>
      </c>
      <c r="H119" s="327" t="str">
        <f>PTAout!AA155</f>
        <v/>
      </c>
      <c r="I119" s="327" t="str">
        <f>PTAout!AF155</f>
        <v/>
      </c>
      <c r="J119" s="487">
        <f>IF(MCAin!O135="","",MCAin!O135)</f>
        <v>0</v>
      </c>
      <c r="K119" s="487">
        <f>IF(MCAin!P135="","",MCAin!P135)</f>
        <v>500</v>
      </c>
      <c r="L119" s="314"/>
      <c r="M119" s="534" t="str">
        <f>IF(AND(COUNTIF(D119:I119,"&gt;=0")=$D$1,J119&gt;=0,K119&gt;=0,MCAin!$Q135=""),1,"")</f>
        <v/>
      </c>
      <c r="N119" s="343" t="str">
        <f t="shared" si="18"/>
        <v/>
      </c>
      <c r="O119" s="343" t="str">
        <f t="shared" si="18"/>
        <v/>
      </c>
      <c r="P119" s="343" t="str">
        <f t="shared" si="18"/>
        <v/>
      </c>
      <c r="Q119" s="343" t="str">
        <f t="shared" si="18"/>
        <v/>
      </c>
      <c r="R119" s="343" t="str">
        <f t="shared" si="18"/>
        <v/>
      </c>
      <c r="S119" s="343" t="str">
        <f t="shared" si="18"/>
        <v/>
      </c>
      <c r="T119" s="343"/>
      <c r="U119" s="344"/>
      <c r="V119" s="463" t="str">
        <f>IF($N119="","",MCAin!$R135*$N119)</f>
        <v/>
      </c>
      <c r="W119" s="345" t="str">
        <f>IF($O119="","",MCAin!$R135*$O119)</f>
        <v/>
      </c>
      <c r="X119" s="345" t="str">
        <f>IF($P119="","",MCAin!$R135*$P119)</f>
        <v/>
      </c>
      <c r="Y119" s="345" t="str">
        <f>IF($Q119="","",MCAin!$R135*$Q119)</f>
        <v/>
      </c>
      <c r="Z119" s="345" t="str">
        <f>IF($R119="","",MCAin!$R135*$R119)</f>
        <v/>
      </c>
      <c r="AA119" s="347" t="str">
        <f>IF($S119="","",MCAin!$R135*$S119)</f>
        <v/>
      </c>
      <c r="AB119" s="463" t="str">
        <f>IF($N119="","",MCAin!$S135*$N119)</f>
        <v/>
      </c>
      <c r="AC119" s="345" t="str">
        <f>IF($O119="","",MCAin!$S135*$O119)</f>
        <v/>
      </c>
      <c r="AD119" s="345" t="str">
        <f>IF($P119="","",MCAin!$S135*$P119)</f>
        <v/>
      </c>
      <c r="AE119" s="345" t="str">
        <f>IF($Q119="","",MCAin!$R135*$Q119)</f>
        <v/>
      </c>
      <c r="AF119" s="345" t="str">
        <f>IF($R119="","",MCAin!$R135*$R119)</f>
        <v/>
      </c>
      <c r="AG119" s="347" t="str">
        <f>IF($S119="","",MCAin!$S135*$S119)</f>
        <v/>
      </c>
      <c r="AH119" s="463" t="str">
        <f>IF($N119="","",MCAin!$T135*$N119)</f>
        <v/>
      </c>
      <c r="AI119" s="345" t="str">
        <f>IF($O119="","",MCAin!$T135*$O119)</f>
        <v/>
      </c>
      <c r="AJ119" s="345" t="str">
        <f>IF($P119="","",MCAin!$T135*$P119)</f>
        <v/>
      </c>
      <c r="AK119" s="345" t="str">
        <f>IF($Q119="","",MCAin!$T135*$Q119)</f>
        <v/>
      </c>
      <c r="AL119" s="345" t="str">
        <f>IF($R119="","",MCAin!$R135*$R119)</f>
        <v/>
      </c>
      <c r="AM119" s="347" t="str">
        <f>IF($S119="","",MCAin!$S135*$S119)</f>
        <v/>
      </c>
      <c r="AN119" s="463" t="str">
        <f>IF($N119="","",MCAin!$U135*$N119)</f>
        <v/>
      </c>
      <c r="AO119" s="345" t="str">
        <f>IF($O119="","",MCAin!$U135*$O119)</f>
        <v/>
      </c>
      <c r="AP119" s="345" t="str">
        <f>IF($P119="","",MCAin!$U135*$P119)</f>
        <v/>
      </c>
      <c r="AQ119" s="345" t="str">
        <f>IF($Q119="","",MCAin!$U135*$Q119)</f>
        <v/>
      </c>
      <c r="AR119" s="345" t="str">
        <f>IF($R119="","",MCAin!$U135*$R119)</f>
        <v/>
      </c>
      <c r="AS119" s="347" t="str">
        <f>IF($S119="","",MCAin!$U135*$S119)</f>
        <v/>
      </c>
      <c r="AT119" s="463" t="str">
        <f>IF($N119="","",MCAin!$V135*$N119)</f>
        <v/>
      </c>
      <c r="AU119" s="345" t="str">
        <f>IF($O119="","",MCAin!$V135*$O119)</f>
        <v/>
      </c>
      <c r="AV119" s="345" t="str">
        <f>IF($P119="","",MCAin!$V135*$P119)</f>
        <v/>
      </c>
      <c r="AW119" s="345" t="str">
        <f>IF($Q119="","",MCAin!$V135*$Q119)</f>
        <v/>
      </c>
      <c r="AX119" s="345" t="str">
        <f>IF($R119="","",MCAin!$V135*$R119)</f>
        <v/>
      </c>
      <c r="AY119" s="347" t="str">
        <f>IF($S119="","",MCAin!$V135*$S119)</f>
        <v/>
      </c>
      <c r="AZ119" s="463" t="str">
        <f>IF($N119="","",MCAin!$W135*$N119)</f>
        <v/>
      </c>
      <c r="BA119" s="345" t="str">
        <f>IF($O119="","",MCAin!$W135*$O119)</f>
        <v/>
      </c>
      <c r="BB119" s="345" t="str">
        <f>IF($P119="","",MCAin!$W135*$P119)</f>
        <v/>
      </c>
      <c r="BC119" s="345" t="str">
        <f>IF($Q119="","",MCAin!$W135*$Q119)</f>
        <v/>
      </c>
      <c r="BD119" s="345" t="str">
        <f>IF($R119="","",MCAin!$W135*$R119)</f>
        <v/>
      </c>
      <c r="BE119" s="347" t="str">
        <f>IF($S119="","",MCAin!$W135*$S119)</f>
        <v/>
      </c>
      <c r="BF119" s="463" t="str">
        <f>IF($N119="","",MCAin!$X135*$N119)</f>
        <v/>
      </c>
      <c r="BG119" s="345" t="str">
        <f>IF($O119="","",MCAin!$X135*$O119)</f>
        <v/>
      </c>
      <c r="BH119" s="345" t="str">
        <f>IF($P119="","",MCAin!$X135*$P119)</f>
        <v/>
      </c>
      <c r="BI119" s="345" t="str">
        <f>IF($Q119="","",MCAin!$X135*$Q119)</f>
        <v/>
      </c>
      <c r="BJ119" s="345" t="str">
        <f>IF($R119="","",MCAin!$X135*$R119)</f>
        <v/>
      </c>
      <c r="BK119" s="347" t="str">
        <f>IF($S119="","",MCAin!$X135*$S119)</f>
        <v/>
      </c>
      <c r="BL119" s="463" t="str">
        <f>IF($N119="","",MCAin!$Y135*$N119)</f>
        <v/>
      </c>
      <c r="BM119" s="345" t="str">
        <f>IF($O119="","",MCAin!$Y135*$O119)</f>
        <v/>
      </c>
      <c r="BN119" s="345" t="str">
        <f>IF($P119="","",MCAin!$Y135*$P119)</f>
        <v/>
      </c>
      <c r="BO119" s="345" t="str">
        <f>IF($Q119="","",MCAin!$Y135*$Q119)</f>
        <v/>
      </c>
      <c r="BP119" s="345" t="str">
        <f>IF($R119="","",MCAin!$Y135*$R119)</f>
        <v/>
      </c>
      <c r="BQ119" s="347" t="str">
        <f>IF($S119="","",MCAin!$Y135*$S119)</f>
        <v/>
      </c>
      <c r="BR119" s="315"/>
      <c r="BS119" s="315"/>
      <c r="BT119" s="315"/>
      <c r="BU119" s="315"/>
      <c r="BV119" s="315"/>
      <c r="BW119" s="315"/>
      <c r="BX119" s="315"/>
      <c r="BY119" s="315"/>
      <c r="BZ119" s="315"/>
    </row>
    <row r="120" spans="1:78" ht="15" customHeight="1">
      <c r="A120" s="314"/>
      <c r="B120" s="110" t="str">
        <f>PTAout!D156</f>
        <v>Duration</v>
      </c>
      <c r="C120" s="316"/>
      <c r="D120" s="318" t="str">
        <f>PTAout!H156</f>
        <v/>
      </c>
      <c r="E120" s="318" t="str">
        <f>PTAout!L156</f>
        <v/>
      </c>
      <c r="F120" s="318" t="str">
        <f>PTAout!Q156</f>
        <v/>
      </c>
      <c r="G120" s="318" t="str">
        <f>PTAout!V156</f>
        <v/>
      </c>
      <c r="H120" s="318" t="str">
        <f>PTAout!AA156</f>
        <v/>
      </c>
      <c r="I120" s="318" t="str">
        <f>PTAout!AF156</f>
        <v/>
      </c>
      <c r="J120" s="487">
        <f>IF(MCAin!O136="","",MCAin!O136)</f>
        <v>0</v>
      </c>
      <c r="K120" s="487">
        <f>IF(MCAin!P136="","",MCAin!P136)</f>
        <v>30</v>
      </c>
      <c r="L120" s="314"/>
      <c r="M120" s="534" t="str">
        <f>IF(AND(COUNTIF(D120:I120,"&gt;=0")=$D$1,J120&gt;=0,K120&gt;=0,MCAin!$Q136=""),1,"")</f>
        <v/>
      </c>
      <c r="N120" s="343" t="str">
        <f t="shared" si="18"/>
        <v/>
      </c>
      <c r="O120" s="343" t="str">
        <f t="shared" si="18"/>
        <v/>
      </c>
      <c r="P120" s="343" t="str">
        <f t="shared" si="18"/>
        <v/>
      </c>
      <c r="Q120" s="343" t="str">
        <f t="shared" si="18"/>
        <v/>
      </c>
      <c r="R120" s="343" t="str">
        <f t="shared" si="18"/>
        <v/>
      </c>
      <c r="S120" s="343" t="str">
        <f t="shared" si="18"/>
        <v/>
      </c>
      <c r="T120" s="343"/>
      <c r="U120" s="344"/>
      <c r="V120" s="463" t="str">
        <f>IF($N120="","",MCAin!$R136*$N120)</f>
        <v/>
      </c>
      <c r="W120" s="345" t="str">
        <f>IF($O120="","",MCAin!$R136*$O120)</f>
        <v/>
      </c>
      <c r="X120" s="345" t="str">
        <f>IF($P120="","",MCAin!$R136*$P120)</f>
        <v/>
      </c>
      <c r="Y120" s="345" t="str">
        <f>IF($Q120="","",MCAin!$R136*$Q120)</f>
        <v/>
      </c>
      <c r="Z120" s="345" t="str">
        <f>IF($R120="","",MCAin!$R136*$R120)</f>
        <v/>
      </c>
      <c r="AA120" s="347" t="str">
        <f>IF($S120="","",MCAin!$R136*$S120)</f>
        <v/>
      </c>
      <c r="AB120" s="463" t="str">
        <f>IF($N120="","",MCAin!$S136*$N120)</f>
        <v/>
      </c>
      <c r="AC120" s="345" t="str">
        <f>IF($O120="","",MCAin!$S136*$O120)</f>
        <v/>
      </c>
      <c r="AD120" s="345" t="str">
        <f>IF($P120="","",MCAin!$S136*$P120)</f>
        <v/>
      </c>
      <c r="AE120" s="345" t="str">
        <f>IF($Q120="","",MCAin!$R136*$Q120)</f>
        <v/>
      </c>
      <c r="AF120" s="345" t="str">
        <f>IF($R120="","",MCAin!$R136*$R120)</f>
        <v/>
      </c>
      <c r="AG120" s="347" t="str">
        <f>IF($S120="","",MCAin!$S136*$S120)</f>
        <v/>
      </c>
      <c r="AH120" s="463" t="str">
        <f>IF($N120="","",MCAin!$T136*$N120)</f>
        <v/>
      </c>
      <c r="AI120" s="345" t="str">
        <f>IF($O120="","",MCAin!$T136*$O120)</f>
        <v/>
      </c>
      <c r="AJ120" s="345" t="str">
        <f>IF($P120="","",MCAin!$T136*$P120)</f>
        <v/>
      </c>
      <c r="AK120" s="345" t="str">
        <f>IF($Q120="","",MCAin!$T136*$Q120)</f>
        <v/>
      </c>
      <c r="AL120" s="345" t="str">
        <f>IF($R120="","",MCAin!$R136*$R120)</f>
        <v/>
      </c>
      <c r="AM120" s="347" t="str">
        <f>IF($S120="","",MCAin!$S136*$S120)</f>
        <v/>
      </c>
      <c r="AN120" s="463" t="str">
        <f>IF($N120="","",MCAin!$U136*$N120)</f>
        <v/>
      </c>
      <c r="AO120" s="345" t="str">
        <f>IF($O120="","",MCAin!$U136*$O120)</f>
        <v/>
      </c>
      <c r="AP120" s="345" t="str">
        <f>IF($P120="","",MCAin!$U136*$P120)</f>
        <v/>
      </c>
      <c r="AQ120" s="345" t="str">
        <f>IF($Q120="","",MCAin!$U136*$Q120)</f>
        <v/>
      </c>
      <c r="AR120" s="345" t="str">
        <f>IF($R120="","",MCAin!$U136*$R120)</f>
        <v/>
      </c>
      <c r="AS120" s="347" t="str">
        <f>IF($S120="","",MCAin!$U136*$S120)</f>
        <v/>
      </c>
      <c r="AT120" s="463" t="str">
        <f>IF($N120="","",MCAin!$V136*$N120)</f>
        <v/>
      </c>
      <c r="AU120" s="345" t="str">
        <f>IF($O120="","",MCAin!$V136*$O120)</f>
        <v/>
      </c>
      <c r="AV120" s="345" t="str">
        <f>IF($P120="","",MCAin!$V136*$P120)</f>
        <v/>
      </c>
      <c r="AW120" s="345" t="str">
        <f>IF($Q120="","",MCAin!$V136*$Q120)</f>
        <v/>
      </c>
      <c r="AX120" s="345" t="str">
        <f>IF($R120="","",MCAin!$V136*$R120)</f>
        <v/>
      </c>
      <c r="AY120" s="347" t="str">
        <f>IF($S120="","",MCAin!$V136*$S120)</f>
        <v/>
      </c>
      <c r="AZ120" s="463" t="str">
        <f>IF($N120="","",MCAin!$W136*$N120)</f>
        <v/>
      </c>
      <c r="BA120" s="345" t="str">
        <f>IF($O120="","",MCAin!$W136*$O120)</f>
        <v/>
      </c>
      <c r="BB120" s="345" t="str">
        <f>IF($P120="","",MCAin!$W136*$P120)</f>
        <v/>
      </c>
      <c r="BC120" s="345" t="str">
        <f>IF($Q120="","",MCAin!$W136*$Q120)</f>
        <v/>
      </c>
      <c r="BD120" s="345" t="str">
        <f>IF($R120="","",MCAin!$W136*$R120)</f>
        <v/>
      </c>
      <c r="BE120" s="347" t="str">
        <f>IF($S120="","",MCAin!$W136*$S120)</f>
        <v/>
      </c>
      <c r="BF120" s="463" t="str">
        <f>IF($N120="","",MCAin!$X136*$N120)</f>
        <v/>
      </c>
      <c r="BG120" s="345" t="str">
        <f>IF($O120="","",MCAin!$X136*$O120)</f>
        <v/>
      </c>
      <c r="BH120" s="345" t="str">
        <f>IF($P120="","",MCAin!$X136*$P120)</f>
        <v/>
      </c>
      <c r="BI120" s="345" t="str">
        <f>IF($Q120="","",MCAin!$X136*$Q120)</f>
        <v/>
      </c>
      <c r="BJ120" s="345" t="str">
        <f>IF($R120="","",MCAin!$X136*$R120)</f>
        <v/>
      </c>
      <c r="BK120" s="347" t="str">
        <f>IF($S120="","",MCAin!$X136*$S120)</f>
        <v/>
      </c>
      <c r="BL120" s="463" t="str">
        <f>IF($N120="","",MCAin!$Y136*$N120)</f>
        <v/>
      </c>
      <c r="BM120" s="345" t="str">
        <f>IF($O120="","",MCAin!$Y136*$O120)</f>
        <v/>
      </c>
      <c r="BN120" s="345" t="str">
        <f>IF($P120="","",MCAin!$Y136*$P120)</f>
        <v/>
      </c>
      <c r="BO120" s="345" t="str">
        <f>IF($Q120="","",MCAin!$Y136*$Q120)</f>
        <v/>
      </c>
      <c r="BP120" s="345" t="str">
        <f>IF($R120="","",MCAin!$Y136*$R120)</f>
        <v/>
      </c>
      <c r="BQ120" s="347" t="str">
        <f>IF($S120="","",MCAin!$Y136*$S120)</f>
        <v/>
      </c>
      <c r="BR120" s="315"/>
      <c r="BS120" s="315"/>
      <c r="BT120" s="315"/>
      <c r="BU120" s="315"/>
      <c r="BV120" s="315"/>
      <c r="BW120" s="315"/>
      <c r="BX120" s="315"/>
      <c r="BY120" s="315"/>
      <c r="BZ120" s="315"/>
    </row>
    <row r="121" spans="1:78" ht="16.5" customHeight="1">
      <c r="A121" s="320"/>
      <c r="B121" s="118" t="str">
        <f>PTAout!D157</f>
        <v>Quality</v>
      </c>
      <c r="C121" s="321"/>
      <c r="D121" s="328" t="str">
        <f>PTAout!H157</f>
        <v/>
      </c>
      <c r="E121" s="328" t="str">
        <f>PTAout!L157</f>
        <v/>
      </c>
      <c r="F121" s="328" t="str">
        <f>PTAout!Q157</f>
        <v/>
      </c>
      <c r="G121" s="328" t="str">
        <f>PTAout!V157</f>
        <v/>
      </c>
      <c r="H121" s="328" t="str">
        <f>PTAout!AA157</f>
        <v/>
      </c>
      <c r="I121" s="328" t="str">
        <f>PTAout!AF157</f>
        <v/>
      </c>
      <c r="J121" s="489">
        <f>IF(MCAin!O137="","",MCAin!O137)</f>
        <v>0</v>
      </c>
      <c r="K121" s="489">
        <f>IF(MCAin!P137="","",MCAin!P137)</f>
        <v>100</v>
      </c>
      <c r="L121" s="314"/>
      <c r="M121" s="534" t="str">
        <f>IF(AND(COUNTIF(D121:I121,"&gt;=0")=$D$1,J121&gt;=0,K121&gt;=0,MCAin!$Q137=""),1,"")</f>
        <v/>
      </c>
      <c r="N121" s="492" t="str">
        <f t="shared" si="18"/>
        <v/>
      </c>
      <c r="O121" s="492" t="str">
        <f t="shared" si="18"/>
        <v/>
      </c>
      <c r="P121" s="492" t="str">
        <f t="shared" si="18"/>
        <v/>
      </c>
      <c r="Q121" s="492" t="str">
        <f t="shared" si="18"/>
        <v/>
      </c>
      <c r="R121" s="492" t="str">
        <f t="shared" si="18"/>
        <v/>
      </c>
      <c r="S121" s="492" t="str">
        <f t="shared" si="18"/>
        <v/>
      </c>
      <c r="T121" s="343"/>
      <c r="U121" s="344"/>
      <c r="V121" s="495" t="str">
        <f>IF($N121="","",MCAin!$R137*$N121)</f>
        <v/>
      </c>
      <c r="W121" s="496" t="str">
        <f>IF($O121="","",MCAin!$R137*$O121)</f>
        <v/>
      </c>
      <c r="X121" s="496" t="str">
        <f>IF($P121="","",MCAin!$R137*$P121)</f>
        <v/>
      </c>
      <c r="Y121" s="496" t="str">
        <f>IF($Q121="","",MCAin!$R137*$Q121)</f>
        <v/>
      </c>
      <c r="Z121" s="496" t="str">
        <f>IF($R121="","",MCAin!$R137*$R121)</f>
        <v/>
      </c>
      <c r="AA121" s="497" t="str">
        <f>IF($S121="","",MCAin!$R137*$S121)</f>
        <v/>
      </c>
      <c r="AB121" s="495" t="str">
        <f>IF($N121="","",MCAin!$S137*$N121)</f>
        <v/>
      </c>
      <c r="AC121" s="496" t="str">
        <f>IF($O121="","",MCAin!$S137*$O121)</f>
        <v/>
      </c>
      <c r="AD121" s="496" t="str">
        <f>IF($P121="","",MCAin!$S137*$P121)</f>
        <v/>
      </c>
      <c r="AE121" s="496" t="str">
        <f>IF($Q121="","",MCAin!$R137*$Q121)</f>
        <v/>
      </c>
      <c r="AF121" s="496" t="str">
        <f>IF($R121="","",MCAin!$R137*$R121)</f>
        <v/>
      </c>
      <c r="AG121" s="497" t="str">
        <f>IF($S121="","",MCAin!$S137*$S121)</f>
        <v/>
      </c>
      <c r="AH121" s="495" t="str">
        <f>IF($N121="","",MCAin!$T137*$N121)</f>
        <v/>
      </c>
      <c r="AI121" s="496" t="str">
        <f>IF($O121="","",MCAin!$T137*$O121)</f>
        <v/>
      </c>
      <c r="AJ121" s="496" t="str">
        <f>IF($P121="","",MCAin!$T137*$P121)</f>
        <v/>
      </c>
      <c r="AK121" s="496" t="str">
        <f>IF($Q121="","",MCAin!$T137*$Q121)</f>
        <v/>
      </c>
      <c r="AL121" s="496" t="str">
        <f>IF($R121="","",MCAin!$R137*$R121)</f>
        <v/>
      </c>
      <c r="AM121" s="497" t="str">
        <f>IF($S121="","",MCAin!$S137*$S121)</f>
        <v/>
      </c>
      <c r="AN121" s="495" t="str">
        <f>IF($N121="","",MCAin!$U137*$N121)</f>
        <v/>
      </c>
      <c r="AO121" s="496" t="str">
        <f>IF($O121="","",MCAin!$U137*$O121)</f>
        <v/>
      </c>
      <c r="AP121" s="496" t="str">
        <f>IF($P121="","",MCAin!$U137*$P121)</f>
        <v/>
      </c>
      <c r="AQ121" s="496" t="str">
        <f>IF($Q121="","",MCAin!$U137*$Q121)</f>
        <v/>
      </c>
      <c r="AR121" s="496" t="str">
        <f>IF($R121="","",MCAin!$U137*$R121)</f>
        <v/>
      </c>
      <c r="AS121" s="497" t="str">
        <f>IF($S121="","",MCAin!$U137*$S121)</f>
        <v/>
      </c>
      <c r="AT121" s="495" t="str">
        <f>IF($N121="","",MCAin!$V137*$N121)</f>
        <v/>
      </c>
      <c r="AU121" s="496" t="str">
        <f>IF($O121="","",MCAin!$V137*$O121)</f>
        <v/>
      </c>
      <c r="AV121" s="496" t="str">
        <f>IF($P121="","",MCAin!$V137*$P121)</f>
        <v/>
      </c>
      <c r="AW121" s="496" t="str">
        <f>IF($Q121="","",MCAin!$V137*$Q121)</f>
        <v/>
      </c>
      <c r="AX121" s="496" t="str">
        <f>IF($R121="","",MCAin!$V137*$R121)</f>
        <v/>
      </c>
      <c r="AY121" s="497" t="str">
        <f>IF($S121="","",MCAin!$V137*$S121)</f>
        <v/>
      </c>
      <c r="AZ121" s="495" t="str">
        <f>IF($N121="","",MCAin!$W137*$N121)</f>
        <v/>
      </c>
      <c r="BA121" s="496" t="str">
        <f>IF($O121="","",MCAin!$W137*$O121)</f>
        <v/>
      </c>
      <c r="BB121" s="496" t="str">
        <f>IF($P121="","",MCAin!$W137*$P121)</f>
        <v/>
      </c>
      <c r="BC121" s="496" t="str">
        <f>IF($Q121="","",MCAin!$W137*$Q121)</f>
        <v/>
      </c>
      <c r="BD121" s="496" t="str">
        <f>IF($R121="","",MCAin!$W137*$R121)</f>
        <v/>
      </c>
      <c r="BE121" s="497" t="str">
        <f>IF($S121="","",MCAin!$W137*$S121)</f>
        <v/>
      </c>
      <c r="BF121" s="495" t="str">
        <f>IF($N121="","",MCAin!$X137*$N121)</f>
        <v/>
      </c>
      <c r="BG121" s="496" t="str">
        <f>IF($O121="","",MCAin!$X137*$O121)</f>
        <v/>
      </c>
      <c r="BH121" s="496" t="str">
        <f>IF($P121="","",MCAin!$X137*$P121)</f>
        <v/>
      </c>
      <c r="BI121" s="496" t="str">
        <f>IF($Q121="","",MCAin!$X137*$Q121)</f>
        <v/>
      </c>
      <c r="BJ121" s="496" t="str">
        <f>IF($R121="","",MCAin!$X137*$R121)</f>
        <v/>
      </c>
      <c r="BK121" s="497" t="str">
        <f>IF($S121="","",MCAin!$X137*$S121)</f>
        <v/>
      </c>
      <c r="BL121" s="495" t="str">
        <f>IF($N121="","",MCAin!$Y137*$N121)</f>
        <v/>
      </c>
      <c r="BM121" s="496" t="str">
        <f>IF($O121="","",MCAin!$Y137*$O121)</f>
        <v/>
      </c>
      <c r="BN121" s="496" t="str">
        <f>IF($P121="","",MCAin!$Y137*$P121)</f>
        <v/>
      </c>
      <c r="BO121" s="496" t="str">
        <f>IF($Q121="","",MCAin!$Y137*$Q121)</f>
        <v/>
      </c>
      <c r="BP121" s="496" t="str">
        <f>IF($R121="","",MCAin!$Y137*$R121)</f>
        <v/>
      </c>
      <c r="BQ121" s="497" t="str">
        <f>IF($S121="","",MCAin!$Y137*$S121)</f>
        <v/>
      </c>
      <c r="BR121" s="315"/>
      <c r="BS121" s="315"/>
      <c r="BT121" s="315"/>
      <c r="BU121" s="315"/>
      <c r="BV121" s="315"/>
      <c r="BW121" s="315"/>
      <c r="BX121" s="315"/>
      <c r="BY121" s="315"/>
      <c r="BZ121" s="315"/>
    </row>
    <row r="122" spans="1:78" ht="15" customHeight="1">
      <c r="A122" s="510" t="str">
        <f>PTAout!C158</f>
        <v>Sitting (outdoor cafe)</v>
      </c>
      <c r="B122" s="511"/>
      <c r="C122" s="500"/>
      <c r="D122" s="516"/>
      <c r="E122" s="516"/>
      <c r="F122" s="516"/>
      <c r="G122" s="516"/>
      <c r="H122" s="516"/>
      <c r="I122" s="516"/>
      <c r="J122" s="517"/>
      <c r="K122" s="517"/>
      <c r="L122" s="503"/>
      <c r="M122" s="504"/>
      <c r="N122" s="504"/>
      <c r="O122" s="504"/>
      <c r="P122" s="504"/>
      <c r="Q122" s="504"/>
      <c r="R122" s="504"/>
      <c r="S122" s="504"/>
      <c r="T122" s="504"/>
      <c r="U122" s="504"/>
      <c r="V122" s="507"/>
      <c r="W122" s="508"/>
      <c r="X122" s="508"/>
      <c r="Y122" s="508"/>
      <c r="Z122" s="508"/>
      <c r="AA122" s="509"/>
      <c r="AB122" s="507"/>
      <c r="AC122" s="508"/>
      <c r="AD122" s="508"/>
      <c r="AE122" s="508"/>
      <c r="AF122" s="508"/>
      <c r="AG122" s="509"/>
      <c r="AH122" s="507"/>
      <c r="AI122" s="508"/>
      <c r="AJ122" s="508"/>
      <c r="AK122" s="508"/>
      <c r="AL122" s="508"/>
      <c r="AM122" s="509"/>
      <c r="AN122" s="507"/>
      <c r="AO122" s="508"/>
      <c r="AP122" s="508"/>
      <c r="AQ122" s="508"/>
      <c r="AR122" s="508"/>
      <c r="AS122" s="509"/>
      <c r="AT122" s="507"/>
      <c r="AU122" s="508"/>
      <c r="AV122" s="508"/>
      <c r="AW122" s="508"/>
      <c r="AX122" s="508"/>
      <c r="AY122" s="509"/>
      <c r="AZ122" s="507"/>
      <c r="BA122" s="508"/>
      <c r="BB122" s="508"/>
      <c r="BC122" s="508"/>
      <c r="BD122" s="508"/>
      <c r="BE122" s="509"/>
      <c r="BF122" s="507"/>
      <c r="BG122" s="508"/>
      <c r="BH122" s="508"/>
      <c r="BI122" s="508"/>
      <c r="BJ122" s="508"/>
      <c r="BK122" s="509"/>
      <c r="BL122" s="507"/>
      <c r="BM122" s="508"/>
      <c r="BN122" s="508"/>
      <c r="BO122" s="508"/>
      <c r="BP122" s="508"/>
      <c r="BQ122" s="509"/>
      <c r="BR122" s="315"/>
      <c r="BS122" s="315"/>
      <c r="BT122" s="315"/>
      <c r="BU122" s="315"/>
      <c r="BV122" s="315"/>
      <c r="BW122" s="315"/>
      <c r="BX122" s="315"/>
      <c r="BY122" s="315"/>
      <c r="BZ122" s="315"/>
    </row>
    <row r="123" spans="1:78" ht="15" customHeight="1">
      <c r="A123" s="314"/>
      <c r="B123" s="110" t="str">
        <f>PTAout!D159</f>
        <v>Space</v>
      </c>
      <c r="C123" s="316"/>
      <c r="D123" s="318" t="str">
        <f>PTAout!H159</f>
        <v/>
      </c>
      <c r="E123" s="318" t="str">
        <f>PTAout!L159</f>
        <v/>
      </c>
      <c r="F123" s="318" t="str">
        <f>PTAout!Q159</f>
        <v/>
      </c>
      <c r="G123" s="318" t="str">
        <f>PTAout!V159</f>
        <v/>
      </c>
      <c r="H123" s="318" t="str">
        <f>PTAout!AA159</f>
        <v/>
      </c>
      <c r="I123" s="318" t="str">
        <f>PTAout!AF159</f>
        <v/>
      </c>
      <c r="J123" s="484">
        <f>IF(MCAin!O139="","",MCAin!O139)</f>
        <v>0</v>
      </c>
      <c r="K123" s="484">
        <f>IF(MCAin!P139="","",MCAin!P139)</f>
        <v>10</v>
      </c>
      <c r="L123" s="314"/>
      <c r="M123" s="534" t="str">
        <f>IF(AND(COUNTIF(D123:I123,"&gt;=0")=$D$1,J123&gt;=0,K123&gt;=0,MCAin!$Q139=""),1,"")</f>
        <v/>
      </c>
      <c r="N123" s="343" t="str">
        <f t="shared" ref="N123:S126" si="19">IF(OR($M123&lt;&gt;1,D123=""),"",(D123-$J123)/($K123-$J123))</f>
        <v/>
      </c>
      <c r="O123" s="343" t="str">
        <f t="shared" si="19"/>
        <v/>
      </c>
      <c r="P123" s="343" t="str">
        <f t="shared" si="19"/>
        <v/>
      </c>
      <c r="Q123" s="343" t="str">
        <f t="shared" si="19"/>
        <v/>
      </c>
      <c r="R123" s="343" t="str">
        <f t="shared" si="19"/>
        <v/>
      </c>
      <c r="S123" s="343" t="str">
        <f t="shared" si="19"/>
        <v/>
      </c>
      <c r="T123" s="343"/>
      <c r="U123" s="344"/>
      <c r="V123" s="463" t="str">
        <f>IF($N123="","",MCAin!$R139*$N123)</f>
        <v/>
      </c>
      <c r="W123" s="345" t="str">
        <f>IF($O123="","",MCAin!$R139*$O123)</f>
        <v/>
      </c>
      <c r="X123" s="345" t="str">
        <f>IF($P123="","",MCAin!$R139*$P123)</f>
        <v/>
      </c>
      <c r="Y123" s="345" t="str">
        <f>IF($Q123="","",MCAin!$R139*$Q123)</f>
        <v/>
      </c>
      <c r="Z123" s="345" t="str">
        <f>IF($R123="","",MCAin!$R139*$R123)</f>
        <v/>
      </c>
      <c r="AA123" s="347" t="str">
        <f>IF($S123="","",MCAin!$R139*$S123)</f>
        <v/>
      </c>
      <c r="AB123" s="463" t="str">
        <f>IF($N123="","",MCAin!$S139*$N123)</f>
        <v/>
      </c>
      <c r="AC123" s="345" t="str">
        <f>IF($O123="","",MCAin!$S139*$O123)</f>
        <v/>
      </c>
      <c r="AD123" s="345" t="str">
        <f>IF($P123="","",MCAin!$S139*$P123)</f>
        <v/>
      </c>
      <c r="AE123" s="345" t="str">
        <f>IF($Q123="","",MCAin!$R139*$Q123)</f>
        <v/>
      </c>
      <c r="AF123" s="345" t="str">
        <f>IF($R123="","",MCAin!$R139*$R123)</f>
        <v/>
      </c>
      <c r="AG123" s="347" t="str">
        <f>IF($S123="","",MCAin!$S139*$S123)</f>
        <v/>
      </c>
      <c r="AH123" s="463" t="str">
        <f>IF($N123="","",MCAin!$T139*$N123)</f>
        <v/>
      </c>
      <c r="AI123" s="345" t="str">
        <f>IF($O123="","",MCAin!$T139*$O123)</f>
        <v/>
      </c>
      <c r="AJ123" s="345" t="str">
        <f>IF($P123="","",MCAin!$T139*$P123)</f>
        <v/>
      </c>
      <c r="AK123" s="345" t="str">
        <f>IF($Q123="","",MCAin!$T139*$Q123)</f>
        <v/>
      </c>
      <c r="AL123" s="345" t="str">
        <f>IF($R123="","",MCAin!$R139*$R123)</f>
        <v/>
      </c>
      <c r="AM123" s="347" t="str">
        <f>IF($S123="","",MCAin!$S139*$S123)</f>
        <v/>
      </c>
      <c r="AN123" s="463" t="str">
        <f>IF($N123="","",MCAin!$U139*$N123)</f>
        <v/>
      </c>
      <c r="AO123" s="345" t="str">
        <f>IF($O123="","",MCAin!$U139*$O123)</f>
        <v/>
      </c>
      <c r="AP123" s="345" t="str">
        <f>IF($P123="","",MCAin!$U139*$P123)</f>
        <v/>
      </c>
      <c r="AQ123" s="345" t="str">
        <f>IF($Q123="","",MCAin!$U139*$Q123)</f>
        <v/>
      </c>
      <c r="AR123" s="345" t="str">
        <f>IF($R123="","",MCAin!$U139*$R123)</f>
        <v/>
      </c>
      <c r="AS123" s="347" t="str">
        <f>IF($S123="","",MCAin!$U139*$S123)</f>
        <v/>
      </c>
      <c r="AT123" s="463" t="str">
        <f>IF($N123="","",MCAin!$V139*$N123)</f>
        <v/>
      </c>
      <c r="AU123" s="345" t="str">
        <f>IF($O123="","",MCAin!$V139*$O123)</f>
        <v/>
      </c>
      <c r="AV123" s="345" t="str">
        <f>IF($P123="","",MCAin!$V139*$P123)</f>
        <v/>
      </c>
      <c r="AW123" s="345" t="str">
        <f>IF($Q123="","",MCAin!$V139*$Q123)</f>
        <v/>
      </c>
      <c r="AX123" s="345" t="str">
        <f>IF($R123="","",MCAin!$V139*$R123)</f>
        <v/>
      </c>
      <c r="AY123" s="347" t="str">
        <f>IF($S123="","",MCAin!$V139*$S123)</f>
        <v/>
      </c>
      <c r="AZ123" s="463" t="str">
        <f>IF($N123="","",MCAin!$W139*$N123)</f>
        <v/>
      </c>
      <c r="BA123" s="345" t="str">
        <f>IF($O123="","",MCAin!$W139*$O123)</f>
        <v/>
      </c>
      <c r="BB123" s="345" t="str">
        <f>IF($P123="","",MCAin!$W139*$P123)</f>
        <v/>
      </c>
      <c r="BC123" s="345" t="str">
        <f>IF($Q123="","",MCAin!$W139*$Q123)</f>
        <v/>
      </c>
      <c r="BD123" s="345" t="str">
        <f>IF($R123="","",MCAin!$W139*$R123)</f>
        <v/>
      </c>
      <c r="BE123" s="347" t="str">
        <f>IF($S123="","",MCAin!$W139*$S123)</f>
        <v/>
      </c>
      <c r="BF123" s="463" t="str">
        <f>IF($N123="","",MCAin!$X139*$N123)</f>
        <v/>
      </c>
      <c r="BG123" s="345" t="str">
        <f>IF($O123="","",MCAin!$X139*$O123)</f>
        <v/>
      </c>
      <c r="BH123" s="345" t="str">
        <f>IF($P123="","",MCAin!$X139*$P123)</f>
        <v/>
      </c>
      <c r="BI123" s="345" t="str">
        <f>IF($Q123="","",MCAin!$X139*$Q123)</f>
        <v/>
      </c>
      <c r="BJ123" s="345" t="str">
        <f>IF($R123="","",MCAin!$X139*$R123)</f>
        <v/>
      </c>
      <c r="BK123" s="347" t="str">
        <f>IF($S123="","",MCAin!$X139*$S123)</f>
        <v/>
      </c>
      <c r="BL123" s="463" t="str">
        <f>IF($N123="","",MCAin!$Y139*$N123)</f>
        <v/>
      </c>
      <c r="BM123" s="345" t="str">
        <f>IF($O123="","",MCAin!$Y139*$O123)</f>
        <v/>
      </c>
      <c r="BN123" s="345" t="str">
        <f>IF($P123="","",MCAin!$Y139*$P123)</f>
        <v/>
      </c>
      <c r="BO123" s="345" t="str">
        <f>IF($Q123="","",MCAin!$Y139*$Q123)</f>
        <v/>
      </c>
      <c r="BP123" s="345" t="str">
        <f>IF($R123="","",MCAin!$Y139*$R123)</f>
        <v/>
      </c>
      <c r="BQ123" s="347" t="str">
        <f>IF($S123="","",MCAin!$Y139*$S123)</f>
        <v/>
      </c>
      <c r="BR123" s="315"/>
      <c r="BS123" s="315"/>
      <c r="BT123" s="315"/>
      <c r="BU123" s="315"/>
      <c r="BV123" s="315"/>
      <c r="BW123" s="315"/>
      <c r="BX123" s="315"/>
      <c r="BY123" s="315"/>
      <c r="BZ123" s="315"/>
    </row>
    <row r="124" spans="1:78" ht="15" customHeight="1">
      <c r="A124" s="314"/>
      <c r="B124" s="110" t="str">
        <f>PTAout!D160</f>
        <v>Number of activities</v>
      </c>
      <c r="C124" s="316"/>
      <c r="D124" s="327" t="str">
        <f>PTAout!H160</f>
        <v/>
      </c>
      <c r="E124" s="327" t="str">
        <f>PTAout!L160</f>
        <v/>
      </c>
      <c r="F124" s="327" t="str">
        <f>PTAout!Q160</f>
        <v/>
      </c>
      <c r="G124" s="327" t="str">
        <f>PTAout!V160</f>
        <v/>
      </c>
      <c r="H124" s="327" t="str">
        <f>PTAout!AA160</f>
        <v/>
      </c>
      <c r="I124" s="327" t="str">
        <f>PTAout!AF160</f>
        <v/>
      </c>
      <c r="J124" s="487">
        <f>IF(MCAin!O140="","",MCAin!O140)</f>
        <v>0</v>
      </c>
      <c r="K124" s="487">
        <f>IF(MCAin!P140="","",MCAin!P140)</f>
        <v>1000</v>
      </c>
      <c r="L124" s="314"/>
      <c r="M124" s="534" t="str">
        <f>IF(AND(COUNTIF(D124:I124,"&gt;=0")=$D$1,J124&gt;=0,K124&gt;=0,MCAin!$Q140=""),1,"")</f>
        <v/>
      </c>
      <c r="N124" s="343" t="str">
        <f t="shared" si="19"/>
        <v/>
      </c>
      <c r="O124" s="343" t="str">
        <f t="shared" si="19"/>
        <v/>
      </c>
      <c r="P124" s="343" t="str">
        <f t="shared" si="19"/>
        <v/>
      </c>
      <c r="Q124" s="343" t="str">
        <f t="shared" si="19"/>
        <v/>
      </c>
      <c r="R124" s="343" t="str">
        <f t="shared" si="19"/>
        <v/>
      </c>
      <c r="S124" s="343" t="str">
        <f t="shared" si="19"/>
        <v/>
      </c>
      <c r="T124" s="343"/>
      <c r="U124" s="344"/>
      <c r="V124" s="463" t="str">
        <f>IF($N124="","",MCAin!$R140*$N124)</f>
        <v/>
      </c>
      <c r="W124" s="345" t="str">
        <f>IF($O124="","",MCAin!$R140*$O124)</f>
        <v/>
      </c>
      <c r="X124" s="345" t="str">
        <f>IF($P124="","",MCAin!$R140*$P124)</f>
        <v/>
      </c>
      <c r="Y124" s="345" t="str">
        <f>IF($Q124="","",MCAin!$R140*$Q124)</f>
        <v/>
      </c>
      <c r="Z124" s="345" t="str">
        <f>IF($R124="","",MCAin!$R140*$R124)</f>
        <v/>
      </c>
      <c r="AA124" s="347" t="str">
        <f>IF($S124="","",MCAin!$R140*$S124)</f>
        <v/>
      </c>
      <c r="AB124" s="463" t="str">
        <f>IF($N124="","",MCAin!$S140*$N124)</f>
        <v/>
      </c>
      <c r="AC124" s="345" t="str">
        <f>IF($O124="","",MCAin!$S140*$O124)</f>
        <v/>
      </c>
      <c r="AD124" s="345" t="str">
        <f>IF($P124="","",MCAin!$S140*$P124)</f>
        <v/>
      </c>
      <c r="AE124" s="345" t="str">
        <f>IF($Q124="","",MCAin!$R140*$Q124)</f>
        <v/>
      </c>
      <c r="AF124" s="345" t="str">
        <f>IF($R124="","",MCAin!$R140*$R124)</f>
        <v/>
      </c>
      <c r="AG124" s="347" t="str">
        <f>IF($S124="","",MCAin!$S140*$S124)</f>
        <v/>
      </c>
      <c r="AH124" s="463" t="str">
        <f>IF($N124="","",MCAin!$T140*$N124)</f>
        <v/>
      </c>
      <c r="AI124" s="345" t="str">
        <f>IF($O124="","",MCAin!$T140*$O124)</f>
        <v/>
      </c>
      <c r="AJ124" s="345" t="str">
        <f>IF($P124="","",MCAin!$T140*$P124)</f>
        <v/>
      </c>
      <c r="AK124" s="345" t="str">
        <f>IF($Q124="","",MCAin!$T140*$Q124)</f>
        <v/>
      </c>
      <c r="AL124" s="345" t="str">
        <f>IF($R124="","",MCAin!$R140*$R124)</f>
        <v/>
      </c>
      <c r="AM124" s="347" t="str">
        <f>IF($S124="","",MCAin!$S140*$S124)</f>
        <v/>
      </c>
      <c r="AN124" s="463" t="str">
        <f>IF($N124="","",MCAin!$U140*$N124)</f>
        <v/>
      </c>
      <c r="AO124" s="345" t="str">
        <f>IF($O124="","",MCAin!$U140*$O124)</f>
        <v/>
      </c>
      <c r="AP124" s="345" t="str">
        <f>IF($P124="","",MCAin!$U140*$P124)</f>
        <v/>
      </c>
      <c r="AQ124" s="345" t="str">
        <f>IF($Q124="","",MCAin!$U140*$Q124)</f>
        <v/>
      </c>
      <c r="AR124" s="345" t="str">
        <f>IF($R124="","",MCAin!$U140*$R124)</f>
        <v/>
      </c>
      <c r="AS124" s="347" t="str">
        <f>IF($S124="","",MCAin!$U140*$S124)</f>
        <v/>
      </c>
      <c r="AT124" s="463" t="str">
        <f>IF($N124="","",MCAin!$V140*$N124)</f>
        <v/>
      </c>
      <c r="AU124" s="345" t="str">
        <f>IF($O124="","",MCAin!$V140*$O124)</f>
        <v/>
      </c>
      <c r="AV124" s="345" t="str">
        <f>IF($P124="","",MCAin!$V140*$P124)</f>
        <v/>
      </c>
      <c r="AW124" s="345" t="str">
        <f>IF($Q124="","",MCAin!$V140*$Q124)</f>
        <v/>
      </c>
      <c r="AX124" s="345" t="str">
        <f>IF($R124="","",MCAin!$V140*$R124)</f>
        <v/>
      </c>
      <c r="AY124" s="347" t="str">
        <f>IF($S124="","",MCAin!$V140*$S124)</f>
        <v/>
      </c>
      <c r="AZ124" s="463" t="str">
        <f>IF($N124="","",MCAin!$W140*$N124)</f>
        <v/>
      </c>
      <c r="BA124" s="345" t="str">
        <f>IF($O124="","",MCAin!$W140*$O124)</f>
        <v/>
      </c>
      <c r="BB124" s="345" t="str">
        <f>IF($P124="","",MCAin!$W140*$P124)</f>
        <v/>
      </c>
      <c r="BC124" s="345" t="str">
        <f>IF($Q124="","",MCAin!$W140*$Q124)</f>
        <v/>
      </c>
      <c r="BD124" s="345" t="str">
        <f>IF($R124="","",MCAin!$W140*$R124)</f>
        <v/>
      </c>
      <c r="BE124" s="347" t="str">
        <f>IF($S124="","",MCAin!$W140*$S124)</f>
        <v/>
      </c>
      <c r="BF124" s="463" t="str">
        <f>IF($N124="","",MCAin!$X140*$N124)</f>
        <v/>
      </c>
      <c r="BG124" s="345" t="str">
        <f>IF($O124="","",MCAin!$X140*$O124)</f>
        <v/>
      </c>
      <c r="BH124" s="345" t="str">
        <f>IF($P124="","",MCAin!$X140*$P124)</f>
        <v/>
      </c>
      <c r="BI124" s="345" t="str">
        <f>IF($Q124="","",MCAin!$X140*$Q124)</f>
        <v/>
      </c>
      <c r="BJ124" s="345" t="str">
        <f>IF($R124="","",MCAin!$X140*$R124)</f>
        <v/>
      </c>
      <c r="BK124" s="347" t="str">
        <f>IF($S124="","",MCAin!$X140*$S124)</f>
        <v/>
      </c>
      <c r="BL124" s="463" t="str">
        <f>IF($N124="","",MCAin!$Y140*$N124)</f>
        <v/>
      </c>
      <c r="BM124" s="345" t="str">
        <f>IF($O124="","",MCAin!$Y140*$O124)</f>
        <v/>
      </c>
      <c r="BN124" s="345" t="str">
        <f>IF($P124="","",MCAin!$Y140*$P124)</f>
        <v/>
      </c>
      <c r="BO124" s="345" t="str">
        <f>IF($Q124="","",MCAin!$Y140*$Q124)</f>
        <v/>
      </c>
      <c r="BP124" s="345" t="str">
        <f>IF($R124="","",MCAin!$Y140*$R124)</f>
        <v/>
      </c>
      <c r="BQ124" s="347" t="str">
        <f>IF($S124="","",MCAin!$Y140*$S124)</f>
        <v/>
      </c>
      <c r="BR124" s="315"/>
      <c r="BS124" s="315"/>
      <c r="BT124" s="315"/>
      <c r="BU124" s="315"/>
      <c r="BV124" s="315"/>
      <c r="BW124" s="315"/>
      <c r="BX124" s="315"/>
      <c r="BY124" s="315"/>
      <c r="BZ124" s="315"/>
    </row>
    <row r="125" spans="1:78" ht="15" customHeight="1">
      <c r="A125" s="314"/>
      <c r="B125" s="110" t="str">
        <f>PTAout!D161</f>
        <v>Duration</v>
      </c>
      <c r="C125" s="316"/>
      <c r="D125" s="318" t="str">
        <f>PTAout!H161</f>
        <v/>
      </c>
      <c r="E125" s="318" t="str">
        <f>PTAout!L161</f>
        <v/>
      </c>
      <c r="F125" s="318" t="str">
        <f>PTAout!Q161</f>
        <v/>
      </c>
      <c r="G125" s="318" t="str">
        <f>PTAout!V161</f>
        <v/>
      </c>
      <c r="H125" s="318" t="str">
        <f>PTAout!AA161</f>
        <v/>
      </c>
      <c r="I125" s="318" t="str">
        <f>PTAout!AF161</f>
        <v/>
      </c>
      <c r="J125" s="487">
        <f>IF(MCAin!O141="","",MCAin!O141)</f>
        <v>0</v>
      </c>
      <c r="K125" s="487">
        <f>IF(MCAin!P141="","",MCAin!P141)</f>
        <v>30</v>
      </c>
      <c r="L125" s="314"/>
      <c r="M125" s="534" t="str">
        <f>IF(AND(COUNTIF(D125:I125,"&gt;=0")=$D$1,J125&gt;=0,K125&gt;=0,MCAin!$Q141=""),1,"")</f>
        <v/>
      </c>
      <c r="N125" s="343" t="str">
        <f t="shared" si="19"/>
        <v/>
      </c>
      <c r="O125" s="343" t="str">
        <f t="shared" si="19"/>
        <v/>
      </c>
      <c r="P125" s="343" t="str">
        <f t="shared" si="19"/>
        <v/>
      </c>
      <c r="Q125" s="343" t="str">
        <f t="shared" si="19"/>
        <v/>
      </c>
      <c r="R125" s="343" t="str">
        <f t="shared" si="19"/>
        <v/>
      </c>
      <c r="S125" s="343" t="str">
        <f t="shared" si="19"/>
        <v/>
      </c>
      <c r="T125" s="343"/>
      <c r="U125" s="344"/>
      <c r="V125" s="463" t="str">
        <f>IF($N125="","",MCAin!$R141*$N125)</f>
        <v/>
      </c>
      <c r="W125" s="345" t="str">
        <f>IF($O125="","",MCAin!$R141*$O125)</f>
        <v/>
      </c>
      <c r="X125" s="345" t="str">
        <f>IF($P125="","",MCAin!$R141*$P125)</f>
        <v/>
      </c>
      <c r="Y125" s="345" t="str">
        <f>IF($Q125="","",MCAin!$R141*$Q125)</f>
        <v/>
      </c>
      <c r="Z125" s="345" t="str">
        <f>IF($R125="","",MCAin!$R141*$R125)</f>
        <v/>
      </c>
      <c r="AA125" s="347" t="str">
        <f>IF($S125="","",MCAin!$R141*$S125)</f>
        <v/>
      </c>
      <c r="AB125" s="463" t="str">
        <f>IF($N125="","",MCAin!$S141*$N125)</f>
        <v/>
      </c>
      <c r="AC125" s="345" t="str">
        <f>IF($O125="","",MCAin!$S141*$O125)</f>
        <v/>
      </c>
      <c r="AD125" s="345" t="str">
        <f>IF($P125="","",MCAin!$S141*$P125)</f>
        <v/>
      </c>
      <c r="AE125" s="345" t="str">
        <f>IF($Q125="","",MCAin!$R141*$Q125)</f>
        <v/>
      </c>
      <c r="AF125" s="345" t="str">
        <f>IF($R125="","",MCAin!$R141*$R125)</f>
        <v/>
      </c>
      <c r="AG125" s="347" t="str">
        <f>IF($S125="","",MCAin!$S141*$S125)</f>
        <v/>
      </c>
      <c r="AH125" s="463" t="str">
        <f>IF($N125="","",MCAin!$T141*$N125)</f>
        <v/>
      </c>
      <c r="AI125" s="345" t="str">
        <f>IF($O125="","",MCAin!$T141*$O125)</f>
        <v/>
      </c>
      <c r="AJ125" s="345" t="str">
        <f>IF($P125="","",MCAin!$T141*$P125)</f>
        <v/>
      </c>
      <c r="AK125" s="345" t="str">
        <f>IF($Q125="","",MCAin!$T141*$Q125)</f>
        <v/>
      </c>
      <c r="AL125" s="345" t="str">
        <f>IF($R125="","",MCAin!$R141*$R125)</f>
        <v/>
      </c>
      <c r="AM125" s="347" t="str">
        <f>IF($S125="","",MCAin!$S141*$S125)</f>
        <v/>
      </c>
      <c r="AN125" s="463" t="str">
        <f>IF($N125="","",MCAin!$U141*$N125)</f>
        <v/>
      </c>
      <c r="AO125" s="345" t="str">
        <f>IF($O125="","",MCAin!$U141*$O125)</f>
        <v/>
      </c>
      <c r="AP125" s="345" t="str">
        <f>IF($P125="","",MCAin!$U141*$P125)</f>
        <v/>
      </c>
      <c r="AQ125" s="345" t="str">
        <f>IF($Q125="","",MCAin!$U141*$Q125)</f>
        <v/>
      </c>
      <c r="AR125" s="345" t="str">
        <f>IF($R125="","",MCAin!$U141*$R125)</f>
        <v/>
      </c>
      <c r="AS125" s="347" t="str">
        <f>IF($S125="","",MCAin!$U141*$S125)</f>
        <v/>
      </c>
      <c r="AT125" s="463" t="str">
        <f>IF($N125="","",MCAin!$V141*$N125)</f>
        <v/>
      </c>
      <c r="AU125" s="345" t="str">
        <f>IF($O125="","",MCAin!$V141*$O125)</f>
        <v/>
      </c>
      <c r="AV125" s="345" t="str">
        <f>IF($P125="","",MCAin!$V141*$P125)</f>
        <v/>
      </c>
      <c r="AW125" s="345" t="str">
        <f>IF($Q125="","",MCAin!$V141*$Q125)</f>
        <v/>
      </c>
      <c r="AX125" s="345" t="str">
        <f>IF($R125="","",MCAin!$V141*$R125)</f>
        <v/>
      </c>
      <c r="AY125" s="347" t="str">
        <f>IF($S125="","",MCAin!$V141*$S125)</f>
        <v/>
      </c>
      <c r="AZ125" s="463" t="str">
        <f>IF($N125="","",MCAin!$W141*$N125)</f>
        <v/>
      </c>
      <c r="BA125" s="345" t="str">
        <f>IF($O125="","",MCAin!$W141*$O125)</f>
        <v/>
      </c>
      <c r="BB125" s="345" t="str">
        <f>IF($P125="","",MCAin!$W141*$P125)</f>
        <v/>
      </c>
      <c r="BC125" s="345" t="str">
        <f>IF($Q125="","",MCAin!$W141*$Q125)</f>
        <v/>
      </c>
      <c r="BD125" s="345" t="str">
        <f>IF($R125="","",MCAin!$W141*$R125)</f>
        <v/>
      </c>
      <c r="BE125" s="347" t="str">
        <f>IF($S125="","",MCAin!$W141*$S125)</f>
        <v/>
      </c>
      <c r="BF125" s="463" t="str">
        <f>IF($N125="","",MCAin!$X141*$N125)</f>
        <v/>
      </c>
      <c r="BG125" s="345" t="str">
        <f>IF($O125="","",MCAin!$X141*$O125)</f>
        <v/>
      </c>
      <c r="BH125" s="345" t="str">
        <f>IF($P125="","",MCAin!$X141*$P125)</f>
        <v/>
      </c>
      <c r="BI125" s="345" t="str">
        <f>IF($Q125="","",MCAin!$X141*$Q125)</f>
        <v/>
      </c>
      <c r="BJ125" s="345" t="str">
        <f>IF($R125="","",MCAin!$X141*$R125)</f>
        <v/>
      </c>
      <c r="BK125" s="347" t="str">
        <f>IF($S125="","",MCAin!$X141*$S125)</f>
        <v/>
      </c>
      <c r="BL125" s="463" t="str">
        <f>IF($N125="","",MCAin!$Y141*$N125)</f>
        <v/>
      </c>
      <c r="BM125" s="345" t="str">
        <f>IF($O125="","",MCAin!$Y141*$O125)</f>
        <v/>
      </c>
      <c r="BN125" s="345" t="str">
        <f>IF($P125="","",MCAin!$Y141*$P125)</f>
        <v/>
      </c>
      <c r="BO125" s="345" t="str">
        <f>IF($Q125="","",MCAin!$Y141*$Q125)</f>
        <v/>
      </c>
      <c r="BP125" s="345" t="str">
        <f>IF($R125="","",MCAin!$Y141*$R125)</f>
        <v/>
      </c>
      <c r="BQ125" s="347" t="str">
        <f>IF($S125="","",MCAin!$Y141*$S125)</f>
        <v/>
      </c>
      <c r="BR125" s="315"/>
      <c r="BS125" s="315"/>
      <c r="BT125" s="315"/>
      <c r="BU125" s="315"/>
      <c r="BV125" s="315"/>
      <c r="BW125" s="315"/>
      <c r="BX125" s="315"/>
      <c r="BY125" s="315"/>
      <c r="BZ125" s="315"/>
    </row>
    <row r="126" spans="1:78" ht="15" customHeight="1">
      <c r="A126" s="320"/>
      <c r="B126" s="118" t="str">
        <f>PTAout!D162</f>
        <v>Quality</v>
      </c>
      <c r="C126" s="321"/>
      <c r="D126" s="328" t="str">
        <f>PTAout!H162</f>
        <v/>
      </c>
      <c r="E126" s="328" t="str">
        <f>PTAout!L162</f>
        <v/>
      </c>
      <c r="F126" s="328" t="str">
        <f>PTAout!Q162</f>
        <v/>
      </c>
      <c r="G126" s="328" t="str">
        <f>PTAout!V162</f>
        <v/>
      </c>
      <c r="H126" s="328" t="str">
        <f>PTAout!AA162</f>
        <v/>
      </c>
      <c r="I126" s="328" t="str">
        <f>PTAout!AF162</f>
        <v/>
      </c>
      <c r="J126" s="489">
        <f>IF(MCAin!O142="","",MCAin!O142)</f>
        <v>100</v>
      </c>
      <c r="K126" s="489">
        <f>IF(MCAin!P142="","",MCAin!P142)</f>
        <v>1</v>
      </c>
      <c r="L126" s="314"/>
      <c r="M126" s="534" t="str">
        <f>IF(AND(COUNTIF(D126:I126,"&gt;=0")=$D$1,J126&gt;=0,K126&gt;=0,MCAin!$Q142=""),1,"")</f>
        <v/>
      </c>
      <c r="N126" s="492" t="str">
        <f t="shared" si="19"/>
        <v/>
      </c>
      <c r="O126" s="492" t="str">
        <f t="shared" si="19"/>
        <v/>
      </c>
      <c r="P126" s="492" t="str">
        <f t="shared" si="19"/>
        <v/>
      </c>
      <c r="Q126" s="492" t="str">
        <f t="shared" si="19"/>
        <v/>
      </c>
      <c r="R126" s="492" t="str">
        <f t="shared" si="19"/>
        <v/>
      </c>
      <c r="S126" s="492" t="str">
        <f t="shared" si="19"/>
        <v/>
      </c>
      <c r="T126" s="343"/>
      <c r="U126" s="344"/>
      <c r="V126" s="495" t="str">
        <f>IF($N126="","",MCAin!$R142*$N126)</f>
        <v/>
      </c>
      <c r="W126" s="496" t="str">
        <f>IF($O126="","",MCAin!$R142*$O126)</f>
        <v/>
      </c>
      <c r="X126" s="496" t="str">
        <f>IF($P126="","",MCAin!$R142*$P126)</f>
        <v/>
      </c>
      <c r="Y126" s="496" t="str">
        <f>IF($Q126="","",MCAin!$R142*$Q126)</f>
        <v/>
      </c>
      <c r="Z126" s="496" t="str">
        <f>IF($R126="","",MCAin!$R142*$R126)</f>
        <v/>
      </c>
      <c r="AA126" s="497" t="str">
        <f>IF($S126="","",MCAin!$R142*$S126)</f>
        <v/>
      </c>
      <c r="AB126" s="495" t="str">
        <f>IF($N126="","",MCAin!$S142*$N126)</f>
        <v/>
      </c>
      <c r="AC126" s="496" t="str">
        <f>IF($O126="","",MCAin!$S142*$O126)</f>
        <v/>
      </c>
      <c r="AD126" s="496" t="str">
        <f>IF($P126="","",MCAin!$S142*$P126)</f>
        <v/>
      </c>
      <c r="AE126" s="496" t="str">
        <f>IF($Q126="","",MCAin!$R142*$Q126)</f>
        <v/>
      </c>
      <c r="AF126" s="496" t="str">
        <f>IF($R126="","",MCAin!$R142*$R126)</f>
        <v/>
      </c>
      <c r="AG126" s="497" t="str">
        <f>IF($S126="","",MCAin!$S142*$S126)</f>
        <v/>
      </c>
      <c r="AH126" s="495" t="str">
        <f>IF($N126="","",MCAin!$T142*$N126)</f>
        <v/>
      </c>
      <c r="AI126" s="496" t="str">
        <f>IF($O126="","",MCAin!$T142*$O126)</f>
        <v/>
      </c>
      <c r="AJ126" s="496" t="str">
        <f>IF($P126="","",MCAin!$T142*$P126)</f>
        <v/>
      </c>
      <c r="AK126" s="496" t="str">
        <f>IF($Q126="","",MCAin!$T142*$Q126)</f>
        <v/>
      </c>
      <c r="AL126" s="496" t="str">
        <f>IF($R126="","",MCAin!$R142*$R126)</f>
        <v/>
      </c>
      <c r="AM126" s="497" t="str">
        <f>IF($S126="","",MCAin!$S142*$S126)</f>
        <v/>
      </c>
      <c r="AN126" s="495" t="str">
        <f>IF($N126="","",MCAin!$U142*$N126)</f>
        <v/>
      </c>
      <c r="AO126" s="496" t="str">
        <f>IF($O126="","",MCAin!$U142*$O126)</f>
        <v/>
      </c>
      <c r="AP126" s="496" t="str">
        <f>IF($P126="","",MCAin!$U142*$P126)</f>
        <v/>
      </c>
      <c r="AQ126" s="496" t="str">
        <f>IF($Q126="","",MCAin!$U142*$Q126)</f>
        <v/>
      </c>
      <c r="AR126" s="496" t="str">
        <f>IF($R126="","",MCAin!$U142*$R126)</f>
        <v/>
      </c>
      <c r="AS126" s="497" t="str">
        <f>IF($S126="","",MCAin!$U142*$S126)</f>
        <v/>
      </c>
      <c r="AT126" s="495" t="str">
        <f>IF($N126="","",MCAin!$V142*$N126)</f>
        <v/>
      </c>
      <c r="AU126" s="496" t="str">
        <f>IF($O126="","",MCAin!$V142*$O126)</f>
        <v/>
      </c>
      <c r="AV126" s="496" t="str">
        <f>IF($P126="","",MCAin!$V142*$P126)</f>
        <v/>
      </c>
      <c r="AW126" s="496" t="str">
        <f>IF($Q126="","",MCAin!$V142*$Q126)</f>
        <v/>
      </c>
      <c r="AX126" s="496" t="str">
        <f>IF($R126="","",MCAin!$V142*$R126)</f>
        <v/>
      </c>
      <c r="AY126" s="497" t="str">
        <f>IF($S126="","",MCAin!$V142*$S126)</f>
        <v/>
      </c>
      <c r="AZ126" s="495" t="str">
        <f>IF($N126="","",MCAin!$W142*$N126)</f>
        <v/>
      </c>
      <c r="BA126" s="496" t="str">
        <f>IF($O126="","",MCAin!$W142*$O126)</f>
        <v/>
      </c>
      <c r="BB126" s="496" t="str">
        <f>IF($P126="","",MCAin!$W142*$P126)</f>
        <v/>
      </c>
      <c r="BC126" s="496" t="str">
        <f>IF($Q126="","",MCAin!$W142*$Q126)</f>
        <v/>
      </c>
      <c r="BD126" s="496" t="str">
        <f>IF($R126="","",MCAin!$W142*$R126)</f>
        <v/>
      </c>
      <c r="BE126" s="497" t="str">
        <f>IF($S126="","",MCAin!$W142*$S126)</f>
        <v/>
      </c>
      <c r="BF126" s="495" t="str">
        <f>IF($N126="","",MCAin!$X142*$N126)</f>
        <v/>
      </c>
      <c r="BG126" s="496" t="str">
        <f>IF($O126="","",MCAin!$X142*$O126)</f>
        <v/>
      </c>
      <c r="BH126" s="496" t="str">
        <f>IF($P126="","",MCAin!$X142*$P126)</f>
        <v/>
      </c>
      <c r="BI126" s="496" t="str">
        <f>IF($Q126="","",MCAin!$X142*$Q126)</f>
        <v/>
      </c>
      <c r="BJ126" s="496" t="str">
        <f>IF($R126="","",MCAin!$X142*$R126)</f>
        <v/>
      </c>
      <c r="BK126" s="497" t="str">
        <f>IF($S126="","",MCAin!$X142*$S126)</f>
        <v/>
      </c>
      <c r="BL126" s="495" t="str">
        <f>IF($N126="","",MCAin!$Y142*$N126)</f>
        <v/>
      </c>
      <c r="BM126" s="496" t="str">
        <f>IF($O126="","",MCAin!$Y142*$O126)</f>
        <v/>
      </c>
      <c r="BN126" s="496" t="str">
        <f>IF($P126="","",MCAin!$Y142*$P126)</f>
        <v/>
      </c>
      <c r="BO126" s="496" t="str">
        <f>IF($Q126="","",MCAin!$Y142*$Q126)</f>
        <v/>
      </c>
      <c r="BP126" s="496" t="str">
        <f>IF($R126="","",MCAin!$Y142*$R126)</f>
        <v/>
      </c>
      <c r="BQ126" s="497" t="str">
        <f>IF($S126="","",MCAin!$Y142*$S126)</f>
        <v/>
      </c>
      <c r="BR126" s="315"/>
      <c r="BS126" s="315"/>
      <c r="BT126" s="315"/>
      <c r="BU126" s="315"/>
      <c r="BV126" s="315"/>
      <c r="BW126" s="315"/>
      <c r="BX126" s="315"/>
      <c r="BY126" s="315"/>
      <c r="BZ126" s="315"/>
    </row>
    <row r="127" spans="1:78" ht="15" customHeight="1">
      <c r="A127" s="314"/>
      <c r="B127" s="110"/>
      <c r="C127" s="316"/>
      <c r="D127" s="232"/>
      <c r="E127" s="232"/>
      <c r="F127" s="232"/>
      <c r="G127" s="232"/>
      <c r="H127" s="232"/>
      <c r="I127" s="232"/>
      <c r="J127" s="485"/>
      <c r="K127" s="485"/>
      <c r="L127" s="314"/>
      <c r="M127" s="344"/>
      <c r="N127" s="344"/>
      <c r="O127" s="344"/>
      <c r="P127" s="344"/>
      <c r="Q127" s="344"/>
      <c r="R127" s="344"/>
      <c r="S127" s="344"/>
      <c r="T127" s="344"/>
      <c r="U127" s="344"/>
      <c r="V127" s="463"/>
      <c r="W127" s="345"/>
      <c r="X127" s="345"/>
      <c r="Y127" s="345"/>
      <c r="Z127" s="345"/>
      <c r="AA127" s="347"/>
      <c r="AB127" s="463"/>
      <c r="AC127" s="345"/>
      <c r="AD127" s="345"/>
      <c r="AE127" s="345"/>
      <c r="AF127" s="345"/>
      <c r="AG127" s="347"/>
      <c r="AH127" s="463"/>
      <c r="AI127" s="345"/>
      <c r="AJ127" s="345"/>
      <c r="AK127" s="345"/>
      <c r="AL127" s="345"/>
      <c r="AM127" s="347"/>
      <c r="AN127" s="463"/>
      <c r="AO127" s="345"/>
      <c r="AP127" s="345"/>
      <c r="AQ127" s="345"/>
      <c r="AR127" s="345"/>
      <c r="AS127" s="347"/>
      <c r="AT127" s="463"/>
      <c r="AU127" s="345"/>
      <c r="AV127" s="345"/>
      <c r="AW127" s="345"/>
      <c r="AX127" s="345"/>
      <c r="AY127" s="347"/>
      <c r="AZ127" s="463"/>
      <c r="BA127" s="345"/>
      <c r="BB127" s="345"/>
      <c r="BC127" s="345"/>
      <c r="BD127" s="345"/>
      <c r="BE127" s="347"/>
      <c r="BF127" s="463"/>
      <c r="BG127" s="345"/>
      <c r="BH127" s="345"/>
      <c r="BI127" s="345"/>
      <c r="BJ127" s="345"/>
      <c r="BK127" s="347"/>
      <c r="BL127" s="463"/>
      <c r="BM127" s="345"/>
      <c r="BN127" s="345"/>
      <c r="BO127" s="345"/>
      <c r="BP127" s="345"/>
      <c r="BQ127" s="347"/>
      <c r="BR127" s="315"/>
      <c r="BS127" s="315"/>
      <c r="BT127" s="315"/>
      <c r="BU127" s="315"/>
      <c r="BV127" s="315"/>
      <c r="BW127" s="315"/>
      <c r="BX127" s="315"/>
      <c r="BY127" s="315"/>
      <c r="BZ127" s="315"/>
    </row>
    <row r="128" spans="1:78" ht="15" customHeight="1">
      <c r="A128" s="325" t="str">
        <f>PTAout!C164</f>
        <v>Wider impacts</v>
      </c>
      <c r="B128" s="118"/>
      <c r="C128" s="321"/>
      <c r="D128" s="313"/>
      <c r="E128" s="313"/>
      <c r="F128" s="313"/>
      <c r="G128" s="313"/>
      <c r="H128" s="313"/>
      <c r="I128" s="313"/>
      <c r="J128" s="486"/>
      <c r="K128" s="486"/>
      <c r="L128" s="314"/>
      <c r="M128" s="344"/>
      <c r="N128" s="491"/>
      <c r="O128" s="491"/>
      <c r="P128" s="491"/>
      <c r="Q128" s="491"/>
      <c r="R128" s="491"/>
      <c r="S128" s="491"/>
      <c r="T128" s="344"/>
      <c r="U128" s="344"/>
      <c r="V128" s="495"/>
      <c r="W128" s="496"/>
      <c r="X128" s="496"/>
      <c r="Y128" s="496"/>
      <c r="Z128" s="496"/>
      <c r="AA128" s="497"/>
      <c r="AB128" s="495"/>
      <c r="AC128" s="496"/>
      <c r="AD128" s="496"/>
      <c r="AE128" s="496"/>
      <c r="AF128" s="496"/>
      <c r="AG128" s="497"/>
      <c r="AH128" s="495"/>
      <c r="AI128" s="496"/>
      <c r="AJ128" s="496"/>
      <c r="AK128" s="496"/>
      <c r="AL128" s="496"/>
      <c r="AM128" s="497"/>
      <c r="AN128" s="495"/>
      <c r="AO128" s="496"/>
      <c r="AP128" s="496"/>
      <c r="AQ128" s="496"/>
      <c r="AR128" s="496"/>
      <c r="AS128" s="497"/>
      <c r="AT128" s="495"/>
      <c r="AU128" s="496"/>
      <c r="AV128" s="496"/>
      <c r="AW128" s="496"/>
      <c r="AX128" s="496"/>
      <c r="AY128" s="497"/>
      <c r="AZ128" s="495"/>
      <c r="BA128" s="496"/>
      <c r="BB128" s="496"/>
      <c r="BC128" s="496"/>
      <c r="BD128" s="496"/>
      <c r="BE128" s="497"/>
      <c r="BF128" s="495"/>
      <c r="BG128" s="496"/>
      <c r="BH128" s="496"/>
      <c r="BI128" s="496"/>
      <c r="BJ128" s="496"/>
      <c r="BK128" s="497"/>
      <c r="BL128" s="495"/>
      <c r="BM128" s="496"/>
      <c r="BN128" s="496"/>
      <c r="BO128" s="496"/>
      <c r="BP128" s="496"/>
      <c r="BQ128" s="497"/>
      <c r="BR128" s="315"/>
      <c r="BS128" s="315"/>
      <c r="BT128" s="315"/>
      <c r="BU128" s="315"/>
      <c r="BV128" s="315"/>
      <c r="BW128" s="315"/>
      <c r="BX128" s="315"/>
      <c r="BY128" s="315"/>
      <c r="BZ128" s="315"/>
    </row>
    <row r="129" spans="1:78" ht="15" customHeight="1">
      <c r="A129" s="510" t="str">
        <f>PTAout!C165</f>
        <v>Economic</v>
      </c>
      <c r="B129" s="510"/>
      <c r="C129" s="510"/>
      <c r="D129" s="518"/>
      <c r="E129" s="518"/>
      <c r="F129" s="518"/>
      <c r="G129" s="518"/>
      <c r="H129" s="518"/>
      <c r="I129" s="518"/>
      <c r="J129" s="519"/>
      <c r="K129" s="519"/>
      <c r="L129" s="503"/>
      <c r="M129" s="504"/>
      <c r="N129" s="504"/>
      <c r="O129" s="504"/>
      <c r="P129" s="504"/>
      <c r="Q129" s="504"/>
      <c r="R129" s="504"/>
      <c r="S129" s="504"/>
      <c r="T129" s="504"/>
      <c r="U129" s="504"/>
      <c r="V129" s="507"/>
      <c r="W129" s="508"/>
      <c r="X129" s="508"/>
      <c r="Y129" s="508"/>
      <c r="Z129" s="508"/>
      <c r="AA129" s="509"/>
      <c r="AB129" s="507"/>
      <c r="AC129" s="508"/>
      <c r="AD129" s="508"/>
      <c r="AE129" s="508"/>
      <c r="AF129" s="508"/>
      <c r="AG129" s="509"/>
      <c r="AH129" s="507"/>
      <c r="AI129" s="508"/>
      <c r="AJ129" s="508"/>
      <c r="AK129" s="508"/>
      <c r="AL129" s="508"/>
      <c r="AM129" s="509"/>
      <c r="AN129" s="507"/>
      <c r="AO129" s="508"/>
      <c r="AP129" s="508"/>
      <c r="AQ129" s="508"/>
      <c r="AR129" s="508"/>
      <c r="AS129" s="509"/>
      <c r="AT129" s="507"/>
      <c r="AU129" s="508"/>
      <c r="AV129" s="508"/>
      <c r="AW129" s="508"/>
      <c r="AX129" s="508"/>
      <c r="AY129" s="509"/>
      <c r="AZ129" s="507"/>
      <c r="BA129" s="508"/>
      <c r="BB129" s="508"/>
      <c r="BC129" s="508"/>
      <c r="BD129" s="508"/>
      <c r="BE129" s="509"/>
      <c r="BF129" s="507"/>
      <c r="BG129" s="508"/>
      <c r="BH129" s="508"/>
      <c r="BI129" s="508"/>
      <c r="BJ129" s="508"/>
      <c r="BK129" s="509"/>
      <c r="BL129" s="507"/>
      <c r="BM129" s="508"/>
      <c r="BN129" s="508"/>
      <c r="BO129" s="508"/>
      <c r="BP129" s="508"/>
      <c r="BQ129" s="509"/>
      <c r="BR129" s="315"/>
      <c r="BS129" s="315"/>
      <c r="BT129" s="315"/>
      <c r="BU129" s="315"/>
      <c r="BV129" s="315"/>
      <c r="BW129" s="315"/>
      <c r="BX129" s="315"/>
      <c r="BY129" s="315"/>
      <c r="BZ129" s="315"/>
    </row>
    <row r="130" spans="1:78" ht="15" customHeight="1">
      <c r="A130" s="314"/>
      <c r="B130" s="110" t="str">
        <f>PTAout!D166</f>
        <v>Costs of transport</v>
      </c>
      <c r="C130" s="233"/>
      <c r="D130" s="234" t="str">
        <f>PTAout!H166</f>
        <v/>
      </c>
      <c r="E130" s="234" t="str">
        <f>PTAout!L166</f>
        <v/>
      </c>
      <c r="F130" s="234" t="str">
        <f>PTAout!Q166</f>
        <v/>
      </c>
      <c r="G130" s="234" t="str">
        <f>PTAout!V166</f>
        <v/>
      </c>
      <c r="H130" s="234" t="str">
        <f>PTAout!AA166</f>
        <v/>
      </c>
      <c r="I130" s="234" t="str">
        <f>PTAout!AF166</f>
        <v/>
      </c>
      <c r="J130" s="484" t="str">
        <f>IF(MCAin!O146="","",MCAin!O146)</f>
        <v/>
      </c>
      <c r="K130" s="484" t="str">
        <f>IF(MCAin!P146="","",MCAin!P146)</f>
        <v/>
      </c>
      <c r="L130" s="314"/>
      <c r="M130" s="343"/>
      <c r="N130" s="343" t="str">
        <f t="shared" ref="N130:S133" si="20">IF(OR($M130&lt;&gt;1,D130=""),"",(D130-$J130)/($K130-$J130))</f>
        <v/>
      </c>
      <c r="O130" s="343" t="str">
        <f t="shared" si="20"/>
        <v/>
      </c>
      <c r="P130" s="343" t="str">
        <f t="shared" si="20"/>
        <v/>
      </c>
      <c r="Q130" s="343" t="str">
        <f t="shared" si="20"/>
        <v/>
      </c>
      <c r="R130" s="343" t="str">
        <f t="shared" si="20"/>
        <v/>
      </c>
      <c r="S130" s="343" t="str">
        <f t="shared" si="20"/>
        <v/>
      </c>
      <c r="T130" s="343"/>
      <c r="U130" s="344"/>
      <c r="V130" s="463" t="str">
        <f>IF($N130="","",MCAin!$R146*$N130)</f>
        <v/>
      </c>
      <c r="W130" s="345" t="str">
        <f>IF($O130="","",MCAin!$R146*$O130)</f>
        <v/>
      </c>
      <c r="X130" s="345" t="str">
        <f>IF($P130="","",MCAin!$R146*$P130)</f>
        <v/>
      </c>
      <c r="Y130" s="345" t="str">
        <f>IF($Q130="","",MCAin!$R146*$Q130)</f>
        <v/>
      </c>
      <c r="Z130" s="345" t="str">
        <f>IF($R130="","",MCAin!$R146*$R130)</f>
        <v/>
      </c>
      <c r="AA130" s="347" t="str">
        <f>IF($S130="","",MCAin!$R146*$S130)</f>
        <v/>
      </c>
      <c r="AB130" s="463" t="str">
        <f>IF($N130="","",MCAin!$S146*$N130)</f>
        <v/>
      </c>
      <c r="AC130" s="345" t="str">
        <f>IF($O130="","",MCAin!$S146*$O130)</f>
        <v/>
      </c>
      <c r="AD130" s="345" t="str">
        <f>IF($P130="","",MCAin!$S146*$P130)</f>
        <v/>
      </c>
      <c r="AE130" s="345" t="str">
        <f>IF($Q130="","",MCAin!$R146*$Q130)</f>
        <v/>
      </c>
      <c r="AF130" s="345" t="str">
        <f>IF($R130="","",MCAin!$R146*$R130)</f>
        <v/>
      </c>
      <c r="AG130" s="347" t="str">
        <f>IF($S130="","",MCAin!$S146*$S130)</f>
        <v/>
      </c>
      <c r="AH130" s="463" t="str">
        <f>IF($N130="","",MCAin!$T146*$N130)</f>
        <v/>
      </c>
      <c r="AI130" s="345" t="str">
        <f>IF($O130="","",MCAin!$T146*$O130)</f>
        <v/>
      </c>
      <c r="AJ130" s="345" t="str">
        <f>IF($P130="","",MCAin!$T146*$P130)</f>
        <v/>
      </c>
      <c r="AK130" s="345" t="str">
        <f>IF($Q130="","",MCAin!$T146*$Q130)</f>
        <v/>
      </c>
      <c r="AL130" s="345" t="str">
        <f>IF($R130="","",MCAin!$R146*$R130)</f>
        <v/>
      </c>
      <c r="AM130" s="347" t="str">
        <f>IF($S130="","",MCAin!$S146*$S130)</f>
        <v/>
      </c>
      <c r="AN130" s="463" t="str">
        <f>IF($N130="","",MCAin!$U146*$N130)</f>
        <v/>
      </c>
      <c r="AO130" s="345" t="str">
        <f>IF($O130="","",MCAin!$U146*$O130)</f>
        <v/>
      </c>
      <c r="AP130" s="345" t="str">
        <f>IF($P130="","",MCAin!$U146*$P130)</f>
        <v/>
      </c>
      <c r="AQ130" s="345" t="str">
        <f>IF($Q130="","",MCAin!$U146*$Q130)</f>
        <v/>
      </c>
      <c r="AR130" s="345" t="str">
        <f>IF($R130="","",MCAin!$U146*$R130)</f>
        <v/>
      </c>
      <c r="AS130" s="347" t="str">
        <f>IF($S130="","",MCAin!$U146*$S130)</f>
        <v/>
      </c>
      <c r="AT130" s="463" t="str">
        <f>IF($N130="","",MCAin!$V146*$N130)</f>
        <v/>
      </c>
      <c r="AU130" s="345" t="str">
        <f>IF($O130="","",MCAin!$V146*$O130)</f>
        <v/>
      </c>
      <c r="AV130" s="345" t="str">
        <f>IF($P130="","",MCAin!$V146*$P130)</f>
        <v/>
      </c>
      <c r="AW130" s="345" t="str">
        <f>IF($Q130="","",MCAin!$V146*$Q130)</f>
        <v/>
      </c>
      <c r="AX130" s="345" t="str">
        <f>IF($R130="","",MCAin!$V146*$R130)</f>
        <v/>
      </c>
      <c r="AY130" s="347" t="str">
        <f>IF($S130="","",MCAin!$V146*$S130)</f>
        <v/>
      </c>
      <c r="AZ130" s="463" t="str">
        <f>IF($N130="","",MCAin!$W146*$N130)</f>
        <v/>
      </c>
      <c r="BA130" s="345" t="str">
        <f>IF($O130="","",MCAin!$W146*$O130)</f>
        <v/>
      </c>
      <c r="BB130" s="345" t="str">
        <f>IF($P130="","",MCAin!$W146*$P130)</f>
        <v/>
      </c>
      <c r="BC130" s="345" t="str">
        <f>IF($Q130="","",MCAin!$W146*$Q130)</f>
        <v/>
      </c>
      <c r="BD130" s="345" t="str">
        <f>IF($R130="","",MCAin!$W146*$R130)</f>
        <v/>
      </c>
      <c r="BE130" s="347" t="str">
        <f>IF($S130="","",MCAin!$W146*$S130)</f>
        <v/>
      </c>
      <c r="BF130" s="463" t="str">
        <f>IF($N130="","",MCAin!$X146*$N130)</f>
        <v/>
      </c>
      <c r="BG130" s="345" t="str">
        <f>IF($O130="","",MCAin!$X146*$O130)</f>
        <v/>
      </c>
      <c r="BH130" s="345" t="str">
        <f>IF($P130="","",MCAin!$X146*$P130)</f>
        <v/>
      </c>
      <c r="BI130" s="345" t="str">
        <f>IF($Q130="","",MCAin!$X146*$Q130)</f>
        <v/>
      </c>
      <c r="BJ130" s="345" t="str">
        <f>IF($R130="","",MCAin!$X146*$R130)</f>
        <v/>
      </c>
      <c r="BK130" s="347" t="str">
        <f>IF($S130="","",MCAin!$X146*$S130)</f>
        <v/>
      </c>
      <c r="BL130" s="463" t="str">
        <f>IF($N130="","",MCAin!$Y146*$N130)</f>
        <v/>
      </c>
      <c r="BM130" s="345" t="str">
        <f>IF($O130="","",MCAin!$Y146*$O130)</f>
        <v/>
      </c>
      <c r="BN130" s="345" t="str">
        <f>IF($P130="","",MCAin!$Y146*$P130)</f>
        <v/>
      </c>
      <c r="BO130" s="345" t="str">
        <f>IF($Q130="","",MCAin!$Y146*$Q130)</f>
        <v/>
      </c>
      <c r="BP130" s="345" t="str">
        <f>IF($R130="","",MCAin!$Y146*$R130)</f>
        <v/>
      </c>
      <c r="BQ130" s="347" t="str">
        <f>IF($S130="","",MCAin!$Y146*$S130)</f>
        <v/>
      </c>
      <c r="BR130" s="315"/>
      <c r="BS130" s="315"/>
      <c r="BT130" s="315"/>
      <c r="BU130" s="315"/>
      <c r="BV130" s="315"/>
      <c r="BW130" s="315"/>
      <c r="BX130" s="315"/>
      <c r="BY130" s="315"/>
      <c r="BZ130" s="315"/>
    </row>
    <row r="131" spans="1:78" ht="15" customHeight="1">
      <c r="A131" s="314"/>
      <c r="B131" s="110" t="str">
        <f>PTAout!D167</f>
        <v>Property values</v>
      </c>
      <c r="C131" s="233"/>
      <c r="D131" s="329" t="str">
        <f>PTAout!H167</f>
        <v/>
      </c>
      <c r="E131" s="329" t="str">
        <f>PTAout!L167</f>
        <v/>
      </c>
      <c r="F131" s="329" t="str">
        <f>PTAout!Q167</f>
        <v/>
      </c>
      <c r="G131" s="329" t="str">
        <f>PTAout!V167</f>
        <v/>
      </c>
      <c r="H131" s="329" t="str">
        <f>PTAout!AA167</f>
        <v/>
      </c>
      <c r="I131" s="329" t="str">
        <f>PTAout!AF167</f>
        <v/>
      </c>
      <c r="J131" s="488">
        <f>IF(MCAin!O147="","",MCAin!O147)</f>
        <v>0</v>
      </c>
      <c r="K131" s="488">
        <f>IF(MCAin!P147="","",MCAin!P147)</f>
        <v>5000</v>
      </c>
      <c r="L131" s="314"/>
      <c r="M131" s="343"/>
      <c r="N131" s="343" t="str">
        <f t="shared" si="20"/>
        <v/>
      </c>
      <c r="O131" s="343" t="str">
        <f t="shared" si="20"/>
        <v/>
      </c>
      <c r="P131" s="343" t="str">
        <f t="shared" si="20"/>
        <v/>
      </c>
      <c r="Q131" s="343" t="str">
        <f t="shared" si="20"/>
        <v/>
      </c>
      <c r="R131" s="343" t="str">
        <f t="shared" si="20"/>
        <v/>
      </c>
      <c r="S131" s="343" t="str">
        <f t="shared" si="20"/>
        <v/>
      </c>
      <c r="T131" s="343"/>
      <c r="U131" s="344"/>
      <c r="V131" s="463" t="str">
        <f>IF($N131="","",MCAin!$R147*$N131)</f>
        <v/>
      </c>
      <c r="W131" s="345" t="str">
        <f>IF($O131="","",MCAin!$R147*$O131)</f>
        <v/>
      </c>
      <c r="X131" s="345" t="str">
        <f>IF($P131="","",MCAin!$R147*$P131)</f>
        <v/>
      </c>
      <c r="Y131" s="345" t="str">
        <f>IF($Q131="","",MCAin!$R147*$Q131)</f>
        <v/>
      </c>
      <c r="Z131" s="345" t="str">
        <f>IF($R131="","",MCAin!$R147*$R131)</f>
        <v/>
      </c>
      <c r="AA131" s="347" t="str">
        <f>IF($S131="","",MCAin!$R147*$S131)</f>
        <v/>
      </c>
      <c r="AB131" s="463" t="str">
        <f>IF($N131="","",MCAin!$S147*$N131)</f>
        <v/>
      </c>
      <c r="AC131" s="345" t="str">
        <f>IF($O131="","",MCAin!$S147*$O131)</f>
        <v/>
      </c>
      <c r="AD131" s="345" t="str">
        <f>IF($P131="","",MCAin!$S147*$P131)</f>
        <v/>
      </c>
      <c r="AE131" s="345" t="str">
        <f>IF($Q131="","",MCAin!$R147*$Q131)</f>
        <v/>
      </c>
      <c r="AF131" s="345" t="str">
        <f>IF($R131="","",MCAin!$R147*$R131)</f>
        <v/>
      </c>
      <c r="AG131" s="347" t="str">
        <f>IF($S131="","",MCAin!$S147*$S131)</f>
        <v/>
      </c>
      <c r="AH131" s="463" t="str">
        <f>IF($N131="","",MCAin!$T147*$N131)</f>
        <v/>
      </c>
      <c r="AI131" s="345" t="str">
        <f>IF($O131="","",MCAin!$T147*$O131)</f>
        <v/>
      </c>
      <c r="AJ131" s="345" t="str">
        <f>IF($P131="","",MCAin!$T147*$P131)</f>
        <v/>
      </c>
      <c r="AK131" s="345" t="str">
        <f>IF($Q131="","",MCAin!$T147*$Q131)</f>
        <v/>
      </c>
      <c r="AL131" s="345" t="str">
        <f>IF($R131="","",MCAin!$R147*$R131)</f>
        <v/>
      </c>
      <c r="AM131" s="347" t="str">
        <f>IF($S131="","",MCAin!$S147*$S131)</f>
        <v/>
      </c>
      <c r="AN131" s="463" t="str">
        <f>IF($N131="","",MCAin!$U147*$N131)</f>
        <v/>
      </c>
      <c r="AO131" s="345" t="str">
        <f>IF($O131="","",MCAin!$U147*$O131)</f>
        <v/>
      </c>
      <c r="AP131" s="345" t="str">
        <f>IF($P131="","",MCAin!$U147*$P131)</f>
        <v/>
      </c>
      <c r="AQ131" s="345" t="str">
        <f>IF($Q131="","",MCAin!$U147*$Q131)</f>
        <v/>
      </c>
      <c r="AR131" s="345" t="str">
        <f>IF($R131="","",MCAin!$U147*$R131)</f>
        <v/>
      </c>
      <c r="AS131" s="347" t="str">
        <f>IF($S131="","",MCAin!$U147*$S131)</f>
        <v/>
      </c>
      <c r="AT131" s="463" t="str">
        <f>IF($N131="","",MCAin!$V147*$N131)</f>
        <v/>
      </c>
      <c r="AU131" s="345" t="str">
        <f>IF($O131="","",MCAin!$V147*$O131)</f>
        <v/>
      </c>
      <c r="AV131" s="345" t="str">
        <f>IF($P131="","",MCAin!$V147*$P131)</f>
        <v/>
      </c>
      <c r="AW131" s="345" t="str">
        <f>IF($Q131="","",MCAin!$V147*$Q131)</f>
        <v/>
      </c>
      <c r="AX131" s="345" t="str">
        <f>IF($R131="","",MCAin!$V147*$R131)</f>
        <v/>
      </c>
      <c r="AY131" s="347" t="str">
        <f>IF($S131="","",MCAin!$V147*$S131)</f>
        <v/>
      </c>
      <c r="AZ131" s="463" t="str">
        <f>IF($N131="","",MCAin!$W147*$N131)</f>
        <v/>
      </c>
      <c r="BA131" s="345" t="str">
        <f>IF($O131="","",MCAin!$W147*$O131)</f>
        <v/>
      </c>
      <c r="BB131" s="345" t="str">
        <f>IF($P131="","",MCAin!$W147*$P131)</f>
        <v/>
      </c>
      <c r="BC131" s="345" t="str">
        <f>IF($Q131="","",MCAin!$W147*$Q131)</f>
        <v/>
      </c>
      <c r="BD131" s="345" t="str">
        <f>IF($R131="","",MCAin!$W147*$R131)</f>
        <v/>
      </c>
      <c r="BE131" s="347" t="str">
        <f>IF($S131="","",MCAin!$W147*$S131)</f>
        <v/>
      </c>
      <c r="BF131" s="463" t="str">
        <f>IF($N131="","",MCAin!$X147*$N131)</f>
        <v/>
      </c>
      <c r="BG131" s="345" t="str">
        <f>IF($O131="","",MCAin!$X147*$O131)</f>
        <v/>
      </c>
      <c r="BH131" s="345" t="str">
        <f>IF($P131="","",MCAin!$X147*$P131)</f>
        <v/>
      </c>
      <c r="BI131" s="345" t="str">
        <f>IF($Q131="","",MCAin!$X147*$Q131)</f>
        <v/>
      </c>
      <c r="BJ131" s="345" t="str">
        <f>IF($R131="","",MCAin!$X147*$R131)</f>
        <v/>
      </c>
      <c r="BK131" s="347" t="str">
        <f>IF($S131="","",MCAin!$X147*$S131)</f>
        <v/>
      </c>
      <c r="BL131" s="463" t="str">
        <f>IF($N131="","",MCAin!$Y147*$N131)</f>
        <v/>
      </c>
      <c r="BM131" s="345" t="str">
        <f>IF($O131="","",MCAin!$Y147*$O131)</f>
        <v/>
      </c>
      <c r="BN131" s="345" t="str">
        <f>IF($P131="","",MCAin!$Y147*$P131)</f>
        <v/>
      </c>
      <c r="BO131" s="345" t="str">
        <f>IF($Q131="","",MCAin!$Y147*$Q131)</f>
        <v/>
      </c>
      <c r="BP131" s="345" t="str">
        <f>IF($R131="","",MCAin!$Y147*$R131)</f>
        <v/>
      </c>
      <c r="BQ131" s="347" t="str">
        <f>IF($S131="","",MCAin!$Y147*$S131)</f>
        <v/>
      </c>
      <c r="BR131" s="315"/>
      <c r="BS131" s="315"/>
      <c r="BT131" s="315"/>
      <c r="BU131" s="315"/>
      <c r="BV131" s="315"/>
      <c r="BW131" s="315"/>
      <c r="BX131" s="315"/>
      <c r="BY131" s="315"/>
      <c r="BZ131" s="315"/>
    </row>
    <row r="132" spans="1:78" ht="15" customHeight="1">
      <c r="A132" s="314"/>
      <c r="B132" s="110" t="str">
        <f>PTAout!D168</f>
        <v>Visits to local businesses</v>
      </c>
      <c r="C132" s="233"/>
      <c r="D132" s="234" t="str">
        <f>PTAout!H168</f>
        <v/>
      </c>
      <c r="E132" s="234" t="str">
        <f>PTAout!L168</f>
        <v/>
      </c>
      <c r="F132" s="234" t="str">
        <f>PTAout!Q168</f>
        <v/>
      </c>
      <c r="G132" s="234" t="str">
        <f>PTAout!V168</f>
        <v/>
      </c>
      <c r="H132" s="234" t="str">
        <f>PTAout!AA168</f>
        <v/>
      </c>
      <c r="I132" s="234" t="str">
        <f>PTAout!AF168</f>
        <v/>
      </c>
      <c r="J132" s="487">
        <f>IF(MCAin!O148="","",MCAin!O148)</f>
        <v>0</v>
      </c>
      <c r="K132" s="487">
        <f>IF(MCAin!P148="","",MCAin!P148)</f>
        <v>5000</v>
      </c>
      <c r="L132" s="314"/>
      <c r="M132" s="343"/>
      <c r="N132" s="343" t="str">
        <f t="shared" si="20"/>
        <v/>
      </c>
      <c r="O132" s="343" t="str">
        <f t="shared" si="20"/>
        <v/>
      </c>
      <c r="P132" s="343" t="str">
        <f t="shared" si="20"/>
        <v/>
      </c>
      <c r="Q132" s="343" t="str">
        <f t="shared" si="20"/>
        <v/>
      </c>
      <c r="R132" s="343" t="str">
        <f t="shared" si="20"/>
        <v/>
      </c>
      <c r="S132" s="343" t="str">
        <f t="shared" si="20"/>
        <v/>
      </c>
      <c r="T132" s="343"/>
      <c r="U132" s="344"/>
      <c r="V132" s="463" t="str">
        <f>IF($N132="","",MCAin!$R148*$N132)</f>
        <v/>
      </c>
      <c r="W132" s="345" t="str">
        <f>IF($O132="","",MCAin!$R148*$O132)</f>
        <v/>
      </c>
      <c r="X132" s="345" t="str">
        <f>IF($P132="","",MCAin!$R148*$P132)</f>
        <v/>
      </c>
      <c r="Y132" s="345" t="str">
        <f>IF($Q132="","",MCAin!$R148*$Q132)</f>
        <v/>
      </c>
      <c r="Z132" s="345" t="str">
        <f>IF($R132="","",MCAin!$R148*$R132)</f>
        <v/>
      </c>
      <c r="AA132" s="347" t="str">
        <f>IF($S132="","",MCAin!$R148*$S132)</f>
        <v/>
      </c>
      <c r="AB132" s="463" t="str">
        <f>IF($N132="","",MCAin!$S148*$N132)</f>
        <v/>
      </c>
      <c r="AC132" s="345" t="str">
        <f>IF($O132="","",MCAin!$S148*$O132)</f>
        <v/>
      </c>
      <c r="AD132" s="345" t="str">
        <f>IF($P132="","",MCAin!$S148*$P132)</f>
        <v/>
      </c>
      <c r="AE132" s="345" t="str">
        <f>IF($Q132="","",MCAin!$R148*$Q132)</f>
        <v/>
      </c>
      <c r="AF132" s="345" t="str">
        <f>IF($R132="","",MCAin!$R148*$R132)</f>
        <v/>
      </c>
      <c r="AG132" s="347" t="str">
        <f>IF($S132="","",MCAin!$S148*$S132)</f>
        <v/>
      </c>
      <c r="AH132" s="463" t="str">
        <f>IF($N132="","",MCAin!$T148*$N132)</f>
        <v/>
      </c>
      <c r="AI132" s="345" t="str">
        <f>IF($O132="","",MCAin!$T148*$O132)</f>
        <v/>
      </c>
      <c r="AJ132" s="345" t="str">
        <f>IF($P132="","",MCAin!$T148*$P132)</f>
        <v/>
      </c>
      <c r="AK132" s="345" t="str">
        <f>IF($Q132="","",MCAin!$T148*$Q132)</f>
        <v/>
      </c>
      <c r="AL132" s="345" t="str">
        <f>IF($R132="","",MCAin!$R148*$R132)</f>
        <v/>
      </c>
      <c r="AM132" s="347" t="str">
        <f>IF($S132="","",MCAin!$S148*$S132)</f>
        <v/>
      </c>
      <c r="AN132" s="463" t="str">
        <f>IF($N132="","",MCAin!$U148*$N132)</f>
        <v/>
      </c>
      <c r="AO132" s="345" t="str">
        <f>IF($O132="","",MCAin!$U148*$O132)</f>
        <v/>
      </c>
      <c r="AP132" s="345" t="str">
        <f>IF($P132="","",MCAin!$U148*$P132)</f>
        <v/>
      </c>
      <c r="AQ132" s="345" t="str">
        <f>IF($Q132="","",MCAin!$U148*$Q132)</f>
        <v/>
      </c>
      <c r="AR132" s="345" t="str">
        <f>IF($R132="","",MCAin!$U148*$R132)</f>
        <v/>
      </c>
      <c r="AS132" s="347" t="str">
        <f>IF($S132="","",MCAin!$U148*$S132)</f>
        <v/>
      </c>
      <c r="AT132" s="463" t="str">
        <f>IF($N132="","",MCAin!$V148*$N132)</f>
        <v/>
      </c>
      <c r="AU132" s="345" t="str">
        <f>IF($O132="","",MCAin!$V148*$O132)</f>
        <v/>
      </c>
      <c r="AV132" s="345" t="str">
        <f>IF($P132="","",MCAin!$V148*$P132)</f>
        <v/>
      </c>
      <c r="AW132" s="345" t="str">
        <f>IF($Q132="","",MCAin!$V148*$Q132)</f>
        <v/>
      </c>
      <c r="AX132" s="345" t="str">
        <f>IF($R132="","",MCAin!$V148*$R132)</f>
        <v/>
      </c>
      <c r="AY132" s="347" t="str">
        <f>IF($S132="","",MCAin!$V148*$S132)</f>
        <v/>
      </c>
      <c r="AZ132" s="463" t="str">
        <f>IF($N132="","",MCAin!$W148*$N132)</f>
        <v/>
      </c>
      <c r="BA132" s="345" t="str">
        <f>IF($O132="","",MCAin!$W148*$O132)</f>
        <v/>
      </c>
      <c r="BB132" s="345" t="str">
        <f>IF($P132="","",MCAin!$W148*$P132)</f>
        <v/>
      </c>
      <c r="BC132" s="345" t="str">
        <f>IF($Q132="","",MCAin!$W148*$Q132)</f>
        <v/>
      </c>
      <c r="BD132" s="345" t="str">
        <f>IF($R132="","",MCAin!$W148*$R132)</f>
        <v/>
      </c>
      <c r="BE132" s="347" t="str">
        <f>IF($S132="","",MCAin!$W148*$S132)</f>
        <v/>
      </c>
      <c r="BF132" s="463" t="str">
        <f>IF($N132="","",MCAin!$X148*$N132)</f>
        <v/>
      </c>
      <c r="BG132" s="345" t="str">
        <f>IF($O132="","",MCAin!$X148*$O132)</f>
        <v/>
      </c>
      <c r="BH132" s="345" t="str">
        <f>IF($P132="","",MCAin!$X148*$P132)</f>
        <v/>
      </c>
      <c r="BI132" s="345" t="str">
        <f>IF($Q132="","",MCAin!$X148*$Q132)</f>
        <v/>
      </c>
      <c r="BJ132" s="345" t="str">
        <f>IF($R132="","",MCAin!$X148*$R132)</f>
        <v/>
      </c>
      <c r="BK132" s="347" t="str">
        <f>IF($S132="","",MCAin!$X148*$S132)</f>
        <v/>
      </c>
      <c r="BL132" s="463" t="str">
        <f>IF($N132="","",MCAin!$Y148*$N132)</f>
        <v/>
      </c>
      <c r="BM132" s="345" t="str">
        <f>IF($O132="","",MCAin!$Y148*$O132)</f>
        <v/>
      </c>
      <c r="BN132" s="345" t="str">
        <f>IF($P132="","",MCAin!$Y148*$P132)</f>
        <v/>
      </c>
      <c r="BO132" s="345" t="str">
        <f>IF($Q132="","",MCAin!$Y148*$Q132)</f>
        <v/>
      </c>
      <c r="BP132" s="345" t="str">
        <f>IF($R132="","",MCAin!$Y148*$R132)</f>
        <v/>
      </c>
      <c r="BQ132" s="347" t="str">
        <f>IF($S132="","",MCAin!$Y148*$S132)</f>
        <v/>
      </c>
      <c r="BR132" s="315"/>
      <c r="BS132" s="315"/>
      <c r="BT132" s="315"/>
      <c r="BU132" s="315"/>
      <c r="BV132" s="315"/>
      <c r="BW132" s="315"/>
      <c r="BX132" s="315"/>
      <c r="BY132" s="315"/>
      <c r="BZ132" s="315"/>
    </row>
    <row r="133" spans="1:78" ht="15" customHeight="1">
      <c r="A133" s="320"/>
      <c r="B133" s="118" t="str">
        <f>PTAout!D169</f>
        <v>Expenditure in local businesses</v>
      </c>
      <c r="C133" s="324"/>
      <c r="D133" s="415" t="str">
        <f>PTAout!H169</f>
        <v/>
      </c>
      <c r="E133" s="415" t="str">
        <f>PTAout!L169</f>
        <v/>
      </c>
      <c r="F133" s="415" t="str">
        <f>PTAout!Q169</f>
        <v/>
      </c>
      <c r="G133" s="415" t="str">
        <f>PTAout!V169</f>
        <v/>
      </c>
      <c r="H133" s="415" t="str">
        <f>PTAout!AA169</f>
        <v/>
      </c>
      <c r="I133" s="415" t="str">
        <f>PTAout!AF169</f>
        <v/>
      </c>
      <c r="J133" s="489">
        <f>IF(MCAin!O149="","",MCAin!O149)</f>
        <v>0</v>
      </c>
      <c r="K133" s="489">
        <f>IF(MCAin!P149="","",MCAin!P149)</f>
        <v>50000</v>
      </c>
      <c r="L133" s="314"/>
      <c r="M133" s="343"/>
      <c r="N133" s="492" t="str">
        <f t="shared" si="20"/>
        <v/>
      </c>
      <c r="O133" s="492" t="str">
        <f t="shared" si="20"/>
        <v/>
      </c>
      <c r="P133" s="492" t="str">
        <f t="shared" si="20"/>
        <v/>
      </c>
      <c r="Q133" s="492" t="str">
        <f t="shared" si="20"/>
        <v/>
      </c>
      <c r="R133" s="492" t="str">
        <f t="shared" si="20"/>
        <v/>
      </c>
      <c r="S133" s="492" t="str">
        <f t="shared" si="20"/>
        <v/>
      </c>
      <c r="T133" s="343"/>
      <c r="U133" s="344"/>
      <c r="V133" s="495" t="str">
        <f>IF($N133="","",MCAin!$R149*$N133)</f>
        <v/>
      </c>
      <c r="W133" s="496" t="str">
        <f>IF($O133="","",MCAin!$R149*$O133)</f>
        <v/>
      </c>
      <c r="X133" s="496" t="str">
        <f>IF($P133="","",MCAin!$R149*$P133)</f>
        <v/>
      </c>
      <c r="Y133" s="496" t="str">
        <f>IF($Q133="","",MCAin!$R149*$Q133)</f>
        <v/>
      </c>
      <c r="Z133" s="496" t="str">
        <f>IF($R133="","",MCAin!$R149*$R133)</f>
        <v/>
      </c>
      <c r="AA133" s="497" t="str">
        <f>IF($S133="","",MCAin!$R149*$S133)</f>
        <v/>
      </c>
      <c r="AB133" s="495" t="str">
        <f>IF($N133="","",MCAin!$S149*$N133)</f>
        <v/>
      </c>
      <c r="AC133" s="496" t="str">
        <f>IF($O133="","",MCAin!$S149*$O133)</f>
        <v/>
      </c>
      <c r="AD133" s="496" t="str">
        <f>IF($P133="","",MCAin!$S149*$P133)</f>
        <v/>
      </c>
      <c r="AE133" s="496" t="str">
        <f>IF($Q133="","",MCAin!$R149*$Q133)</f>
        <v/>
      </c>
      <c r="AF133" s="496" t="str">
        <f>IF($R133="","",MCAin!$R149*$R133)</f>
        <v/>
      </c>
      <c r="AG133" s="497" t="str">
        <f>IF($S133="","",MCAin!$S149*$S133)</f>
        <v/>
      </c>
      <c r="AH133" s="495" t="str">
        <f>IF($N133="","",MCAin!$T149*$N133)</f>
        <v/>
      </c>
      <c r="AI133" s="496" t="str">
        <f>IF($O133="","",MCAin!$T149*$O133)</f>
        <v/>
      </c>
      <c r="AJ133" s="496" t="str">
        <f>IF($P133="","",MCAin!$T149*$P133)</f>
        <v/>
      </c>
      <c r="AK133" s="496" t="str">
        <f>IF($Q133="","",MCAin!$T149*$Q133)</f>
        <v/>
      </c>
      <c r="AL133" s="496" t="str">
        <f>IF($R133="","",MCAin!$R149*$R133)</f>
        <v/>
      </c>
      <c r="AM133" s="497" t="str">
        <f>IF($S133="","",MCAin!$S149*$S133)</f>
        <v/>
      </c>
      <c r="AN133" s="495" t="str">
        <f>IF($N133="","",MCAin!$U149*$N133)</f>
        <v/>
      </c>
      <c r="AO133" s="496" t="str">
        <f>IF($O133="","",MCAin!$U149*$O133)</f>
        <v/>
      </c>
      <c r="AP133" s="496" t="str">
        <f>IF($P133="","",MCAin!$U149*$P133)</f>
        <v/>
      </c>
      <c r="AQ133" s="496" t="str">
        <f>IF($Q133="","",MCAin!$U149*$Q133)</f>
        <v/>
      </c>
      <c r="AR133" s="496" t="str">
        <f>IF($R133="","",MCAin!$U149*$R133)</f>
        <v/>
      </c>
      <c r="AS133" s="497" t="str">
        <f>IF($S133="","",MCAin!$U149*$S133)</f>
        <v/>
      </c>
      <c r="AT133" s="495" t="str">
        <f>IF($N133="","",MCAin!$V149*$N133)</f>
        <v/>
      </c>
      <c r="AU133" s="496" t="str">
        <f>IF($O133="","",MCAin!$V149*$O133)</f>
        <v/>
      </c>
      <c r="AV133" s="496" t="str">
        <f>IF($P133="","",MCAin!$V149*$P133)</f>
        <v/>
      </c>
      <c r="AW133" s="496" t="str">
        <f>IF($Q133="","",MCAin!$V149*$Q133)</f>
        <v/>
      </c>
      <c r="AX133" s="496" t="str">
        <f>IF($R133="","",MCAin!$V149*$R133)</f>
        <v/>
      </c>
      <c r="AY133" s="497" t="str">
        <f>IF($S133="","",MCAin!$V149*$S133)</f>
        <v/>
      </c>
      <c r="AZ133" s="495" t="str">
        <f>IF($N133="","",MCAin!$W149*$N133)</f>
        <v/>
      </c>
      <c r="BA133" s="496" t="str">
        <f>IF($O133="","",MCAin!$W149*$O133)</f>
        <v/>
      </c>
      <c r="BB133" s="496" t="str">
        <f>IF($P133="","",MCAin!$W149*$P133)</f>
        <v/>
      </c>
      <c r="BC133" s="496" t="str">
        <f>IF($Q133="","",MCAin!$W149*$Q133)</f>
        <v/>
      </c>
      <c r="BD133" s="496" t="str">
        <f>IF($R133="","",MCAin!$W149*$R133)</f>
        <v/>
      </c>
      <c r="BE133" s="497" t="str">
        <f>IF($S133="","",MCAin!$W149*$S133)</f>
        <v/>
      </c>
      <c r="BF133" s="495" t="str">
        <f>IF($N133="","",MCAin!$X149*$N133)</f>
        <v/>
      </c>
      <c r="BG133" s="496" t="str">
        <f>IF($O133="","",MCAin!$X149*$O133)</f>
        <v/>
      </c>
      <c r="BH133" s="496" t="str">
        <f>IF($P133="","",MCAin!$X149*$P133)</f>
        <v/>
      </c>
      <c r="BI133" s="496" t="str">
        <f>IF($Q133="","",MCAin!$X149*$Q133)</f>
        <v/>
      </c>
      <c r="BJ133" s="496" t="str">
        <f>IF($R133="","",MCAin!$X149*$R133)</f>
        <v/>
      </c>
      <c r="BK133" s="497" t="str">
        <f>IF($S133="","",MCAin!$X149*$S133)</f>
        <v/>
      </c>
      <c r="BL133" s="495" t="str">
        <f>IF($N133="","",MCAin!$Y149*$N133)</f>
        <v/>
      </c>
      <c r="BM133" s="496" t="str">
        <f>IF($O133="","",MCAin!$Y149*$O133)</f>
        <v/>
      </c>
      <c r="BN133" s="496" t="str">
        <f>IF($P133="","",MCAin!$Y149*$P133)</f>
        <v/>
      </c>
      <c r="BO133" s="496" t="str">
        <f>IF($Q133="","",MCAin!$Y149*$Q133)</f>
        <v/>
      </c>
      <c r="BP133" s="496" t="str">
        <f>IF($R133="","",MCAin!$Y149*$R133)</f>
        <v/>
      </c>
      <c r="BQ133" s="497" t="str">
        <f>IF($S133="","",MCAin!$Y149*$S133)</f>
        <v/>
      </c>
      <c r="BR133" s="315"/>
      <c r="BS133" s="315"/>
      <c r="BT133" s="315"/>
      <c r="BU133" s="315"/>
      <c r="BV133" s="315"/>
      <c r="BW133" s="315"/>
      <c r="BX133" s="315"/>
      <c r="BY133" s="315"/>
      <c r="BZ133" s="315"/>
    </row>
    <row r="134" spans="1:78" ht="15" customHeight="1">
      <c r="A134" s="498" t="str">
        <f>PTAout!C170</f>
        <v>Social</v>
      </c>
      <c r="B134" s="498"/>
      <c r="C134" s="498"/>
      <c r="D134" s="520"/>
      <c r="E134" s="520"/>
      <c r="F134" s="520"/>
      <c r="G134" s="520"/>
      <c r="H134" s="520"/>
      <c r="I134" s="520"/>
      <c r="J134" s="519"/>
      <c r="K134" s="519"/>
      <c r="L134" s="503"/>
      <c r="M134" s="504"/>
      <c r="N134" s="504"/>
      <c r="O134" s="504"/>
      <c r="P134" s="504"/>
      <c r="Q134" s="504"/>
      <c r="R134" s="504"/>
      <c r="S134" s="504"/>
      <c r="T134" s="504"/>
      <c r="U134" s="504"/>
      <c r="V134" s="507"/>
      <c r="W134" s="508"/>
      <c r="X134" s="508"/>
      <c r="Y134" s="508"/>
      <c r="Z134" s="508"/>
      <c r="AA134" s="509"/>
      <c r="AB134" s="507"/>
      <c r="AC134" s="508"/>
      <c r="AD134" s="508"/>
      <c r="AE134" s="508"/>
      <c r="AF134" s="508"/>
      <c r="AG134" s="509"/>
      <c r="AH134" s="507"/>
      <c r="AI134" s="508"/>
      <c r="AJ134" s="508"/>
      <c r="AK134" s="508"/>
      <c r="AL134" s="508"/>
      <c r="AM134" s="509"/>
      <c r="AN134" s="507"/>
      <c r="AO134" s="508"/>
      <c r="AP134" s="508"/>
      <c r="AQ134" s="508"/>
      <c r="AR134" s="508"/>
      <c r="AS134" s="509"/>
      <c r="AT134" s="507"/>
      <c r="AU134" s="508"/>
      <c r="AV134" s="508"/>
      <c r="AW134" s="508"/>
      <c r="AX134" s="508"/>
      <c r="AY134" s="509"/>
      <c r="AZ134" s="507"/>
      <c r="BA134" s="508"/>
      <c r="BB134" s="508"/>
      <c r="BC134" s="508"/>
      <c r="BD134" s="508"/>
      <c r="BE134" s="509"/>
      <c r="BF134" s="507"/>
      <c r="BG134" s="508"/>
      <c r="BH134" s="508"/>
      <c r="BI134" s="508"/>
      <c r="BJ134" s="508"/>
      <c r="BK134" s="509"/>
      <c r="BL134" s="507"/>
      <c r="BM134" s="508"/>
      <c r="BN134" s="508"/>
      <c r="BO134" s="508"/>
      <c r="BP134" s="508"/>
      <c r="BQ134" s="509"/>
      <c r="BR134" s="315"/>
      <c r="BS134" s="315"/>
      <c r="BT134" s="315"/>
      <c r="BU134" s="315"/>
      <c r="BV134" s="315"/>
      <c r="BW134" s="315"/>
      <c r="BX134" s="315"/>
      <c r="BY134" s="315"/>
      <c r="BZ134" s="315"/>
    </row>
    <row r="135" spans="1:78" ht="15" customHeight="1">
      <c r="A135" s="326"/>
      <c r="B135" s="330" t="str">
        <f>PTAout!D171</f>
        <v>Traffic safety (fatalities)</v>
      </c>
      <c r="C135" s="326"/>
      <c r="D135" s="331"/>
      <c r="E135" s="331"/>
      <c r="F135" s="331"/>
      <c r="G135" s="331"/>
      <c r="H135" s="331"/>
      <c r="I135" s="331"/>
      <c r="J135" s="484">
        <f>IF(MCAin!O151="","",MCAin!O151)</f>
        <v>6</v>
      </c>
      <c r="K135" s="484">
        <f>IF(MCAin!P151="","",MCAin!P151)</f>
        <v>0</v>
      </c>
      <c r="L135" s="314"/>
      <c r="M135" s="343"/>
      <c r="N135" s="343" t="str">
        <f t="shared" ref="N135:S144" si="21">IF(OR($M135&lt;&gt;1,D135=""),"",(D135-$J135)/($K135-$J135))</f>
        <v/>
      </c>
      <c r="O135" s="343" t="str">
        <f t="shared" si="21"/>
        <v/>
      </c>
      <c r="P135" s="343" t="str">
        <f t="shared" si="21"/>
        <v/>
      </c>
      <c r="Q135" s="343" t="str">
        <f t="shared" si="21"/>
        <v/>
      </c>
      <c r="R135" s="343" t="str">
        <f t="shared" si="21"/>
        <v/>
      </c>
      <c r="S135" s="343" t="str">
        <f t="shared" si="21"/>
        <v/>
      </c>
      <c r="T135" s="343"/>
      <c r="U135" s="344"/>
      <c r="V135" s="463" t="str">
        <f>IF($N135="","",MCAin!$R151*$N135)</f>
        <v/>
      </c>
      <c r="W135" s="345" t="str">
        <f>IF($O135="","",MCAin!$R151*$O135)</f>
        <v/>
      </c>
      <c r="X135" s="345" t="str">
        <f>IF($P135="","",MCAin!$R151*$P135)</f>
        <v/>
      </c>
      <c r="Y135" s="345" t="str">
        <f>IF($Q135="","",MCAin!$R151*$Q135)</f>
        <v/>
      </c>
      <c r="Z135" s="345" t="str">
        <f>IF($R135="","",MCAin!$R151*$R135)</f>
        <v/>
      </c>
      <c r="AA135" s="347" t="str">
        <f>IF($S135="","",MCAin!$R151*$S135)</f>
        <v/>
      </c>
      <c r="AB135" s="463" t="str">
        <f>IF($N135="","",MCAin!$S151*$N135)</f>
        <v/>
      </c>
      <c r="AC135" s="345" t="str">
        <f>IF($O135="","",MCAin!$S151*$O135)</f>
        <v/>
      </c>
      <c r="AD135" s="345" t="str">
        <f>IF($P135="","",MCAin!$S151*$P135)</f>
        <v/>
      </c>
      <c r="AE135" s="345" t="str">
        <f>IF($Q135="","",MCAin!$R151*$Q135)</f>
        <v/>
      </c>
      <c r="AF135" s="345" t="str">
        <f>IF($R135="","",MCAin!$R151*$R135)</f>
        <v/>
      </c>
      <c r="AG135" s="347" t="str">
        <f>IF($S135="","",MCAin!$S151*$S135)</f>
        <v/>
      </c>
      <c r="AH135" s="463" t="str">
        <f>IF($N135="","",MCAin!$T151*$N135)</f>
        <v/>
      </c>
      <c r="AI135" s="345" t="str">
        <f>IF($O135="","",MCAin!$T151*$O135)</f>
        <v/>
      </c>
      <c r="AJ135" s="345" t="str">
        <f>IF($P135="","",MCAin!$T151*$P135)</f>
        <v/>
      </c>
      <c r="AK135" s="345" t="str">
        <f>IF($Q135="","",MCAin!$T151*$Q135)</f>
        <v/>
      </c>
      <c r="AL135" s="345" t="str">
        <f>IF($R135="","",MCAin!$R151*$R135)</f>
        <v/>
      </c>
      <c r="AM135" s="347" t="str">
        <f>IF($S135="","",MCAin!$S151*$S135)</f>
        <v/>
      </c>
      <c r="AN135" s="463" t="str">
        <f>IF($N135="","",MCAin!$U151*$N135)</f>
        <v/>
      </c>
      <c r="AO135" s="345" t="str">
        <f>IF($O135="","",MCAin!$U151*$O135)</f>
        <v/>
      </c>
      <c r="AP135" s="345" t="str">
        <f>IF($P135="","",MCAin!$U151*$P135)</f>
        <v/>
      </c>
      <c r="AQ135" s="345" t="str">
        <f>IF($Q135="","",MCAin!$U151*$Q135)</f>
        <v/>
      </c>
      <c r="AR135" s="345" t="str">
        <f>IF($R135="","",MCAin!$U151*$R135)</f>
        <v/>
      </c>
      <c r="AS135" s="347" t="str">
        <f>IF($S135="","",MCAin!$U151*$S135)</f>
        <v/>
      </c>
      <c r="AT135" s="463" t="str">
        <f>IF($N135="","",MCAin!$V151*$N135)</f>
        <v/>
      </c>
      <c r="AU135" s="345" t="str">
        <f>IF($O135="","",MCAin!$V151*$O135)</f>
        <v/>
      </c>
      <c r="AV135" s="345" t="str">
        <f>IF($P135="","",MCAin!$V151*$P135)</f>
        <v/>
      </c>
      <c r="AW135" s="345" t="str">
        <f>IF($Q135="","",MCAin!$V151*$Q135)</f>
        <v/>
      </c>
      <c r="AX135" s="345" t="str">
        <f>IF($R135="","",MCAin!$V151*$R135)</f>
        <v/>
      </c>
      <c r="AY135" s="347" t="str">
        <f>IF($S135="","",MCAin!$V151*$S135)</f>
        <v/>
      </c>
      <c r="AZ135" s="463" t="str">
        <f>IF($N135="","",MCAin!$W151*$N135)</f>
        <v/>
      </c>
      <c r="BA135" s="345" t="str">
        <f>IF($O135="","",MCAin!$W151*$O135)</f>
        <v/>
      </c>
      <c r="BB135" s="345" t="str">
        <f>IF($P135="","",MCAin!$W151*$P135)</f>
        <v/>
      </c>
      <c r="BC135" s="345" t="str">
        <f>IF($Q135="","",MCAin!$W151*$Q135)</f>
        <v/>
      </c>
      <c r="BD135" s="345" t="str">
        <f>IF($R135="","",MCAin!$W151*$R135)</f>
        <v/>
      </c>
      <c r="BE135" s="347" t="str">
        <f>IF($S135="","",MCAin!$W151*$S135)</f>
        <v/>
      </c>
      <c r="BF135" s="463" t="str">
        <f>IF($N135="","",MCAin!$X151*$N135)</f>
        <v/>
      </c>
      <c r="BG135" s="345" t="str">
        <f>IF($O135="","",MCAin!$X151*$O135)</f>
        <v/>
      </c>
      <c r="BH135" s="345" t="str">
        <f>IF($P135="","",MCAin!$X151*$P135)</f>
        <v/>
      </c>
      <c r="BI135" s="345" t="str">
        <f>IF($Q135="","",MCAin!$X151*$Q135)</f>
        <v/>
      </c>
      <c r="BJ135" s="345" t="str">
        <f>IF($R135="","",MCAin!$X151*$R135)</f>
        <v/>
      </c>
      <c r="BK135" s="347" t="str">
        <f>IF($S135="","",MCAin!$X151*$S135)</f>
        <v/>
      </c>
      <c r="BL135" s="463" t="str">
        <f>IF($N135="","",MCAin!$Y151*$N135)</f>
        <v/>
      </c>
      <c r="BM135" s="345" t="str">
        <f>IF($O135="","",MCAin!$Y151*$O135)</f>
        <v/>
      </c>
      <c r="BN135" s="345" t="str">
        <f>IF($P135="","",MCAin!$Y151*$P135)</f>
        <v/>
      </c>
      <c r="BO135" s="345" t="str">
        <f>IF($Q135="","",MCAin!$Y151*$Q135)</f>
        <v/>
      </c>
      <c r="BP135" s="345" t="str">
        <f>IF($R135="","",MCAin!$Y151*$R135)</f>
        <v/>
      </c>
      <c r="BQ135" s="347" t="str">
        <f>IF($S135="","",MCAin!$Y151*$S135)</f>
        <v/>
      </c>
      <c r="BR135" s="315"/>
      <c r="BS135" s="315"/>
      <c r="BT135" s="315"/>
      <c r="BU135" s="315"/>
      <c r="BV135" s="315"/>
      <c r="BW135" s="315"/>
      <c r="BX135" s="315"/>
      <c r="BY135" s="315"/>
      <c r="BZ135" s="315"/>
    </row>
    <row r="136" spans="1:78" ht="15" customHeight="1">
      <c r="A136" s="326"/>
      <c r="B136" s="330" t="str">
        <f>PTAout!D172</f>
        <v>Traffic safety (seriousinjuries)</v>
      </c>
      <c r="C136" s="326"/>
      <c r="D136" s="331"/>
      <c r="E136" s="331"/>
      <c r="F136" s="331"/>
      <c r="G136" s="331"/>
      <c r="H136" s="331"/>
      <c r="I136" s="331"/>
      <c r="J136" s="484">
        <f>IF(MCAin!O152="","",MCAin!O152)</f>
        <v>6</v>
      </c>
      <c r="K136" s="484">
        <f>IF(MCAin!P152="","",MCAin!P152)</f>
        <v>0</v>
      </c>
      <c r="L136" s="314"/>
      <c r="M136" s="343"/>
      <c r="N136" s="343" t="str">
        <f t="shared" ref="N136" si="22">IF(OR($M136&lt;&gt;1,D136=""),"",(D136-$J136)/($K136-$J136))</f>
        <v/>
      </c>
      <c r="O136" s="343" t="str">
        <f t="shared" ref="O136" si="23">IF(OR($M136&lt;&gt;1,E136=""),"",(E136-$J136)/($K136-$J136))</f>
        <v/>
      </c>
      <c r="P136" s="343" t="str">
        <f t="shared" ref="P136" si="24">IF(OR($M136&lt;&gt;1,F136=""),"",(F136-$J136)/($K136-$J136))</f>
        <v/>
      </c>
      <c r="Q136" s="343" t="str">
        <f t="shared" ref="Q136" si="25">IF(OR($M136&lt;&gt;1,G136=""),"",(G136-$J136)/($K136-$J136))</f>
        <v/>
      </c>
      <c r="R136" s="343" t="str">
        <f t="shared" ref="R136" si="26">IF(OR($M136&lt;&gt;1,H136=""),"",(H136-$J136)/($K136-$J136))</f>
        <v/>
      </c>
      <c r="S136" s="343" t="str">
        <f t="shared" ref="S136" si="27">IF(OR($M136&lt;&gt;1,I136=""),"",(I136-$J136)/($K136-$J136))</f>
        <v/>
      </c>
      <c r="T136" s="343"/>
      <c r="U136" s="344"/>
      <c r="V136" s="463" t="str">
        <f>IF($N136="","",MCAin!$R152*$N136)</f>
        <v/>
      </c>
      <c r="W136" s="345" t="str">
        <f>IF($O136="","",MCAin!$R152*$O136)</f>
        <v/>
      </c>
      <c r="X136" s="345" t="str">
        <f>IF($P136="","",MCAin!$R152*$P136)</f>
        <v/>
      </c>
      <c r="Y136" s="345" t="str">
        <f>IF($Q136="","",MCAin!$R152*$Q136)</f>
        <v/>
      </c>
      <c r="Z136" s="345" t="str">
        <f>IF($R136="","",MCAin!$R152*$R136)</f>
        <v/>
      </c>
      <c r="AA136" s="347" t="str">
        <f>IF($S136="","",MCAin!$R152*$S136)</f>
        <v/>
      </c>
      <c r="AB136" s="463" t="str">
        <f>IF($N136="","",MCAin!$S152*$N136)</f>
        <v/>
      </c>
      <c r="AC136" s="345" t="str">
        <f>IF($O136="","",MCAin!$S152*$O136)</f>
        <v/>
      </c>
      <c r="AD136" s="345" t="str">
        <f>IF($P136="","",MCAin!$S152*$P136)</f>
        <v/>
      </c>
      <c r="AE136" s="345" t="str">
        <f>IF($Q136="","",MCAin!$R152*$Q136)</f>
        <v/>
      </c>
      <c r="AF136" s="345" t="str">
        <f>IF($R136="","",MCAin!$R152*$R136)</f>
        <v/>
      </c>
      <c r="AG136" s="347" t="str">
        <f>IF($S136="","",MCAin!$S152*$S136)</f>
        <v/>
      </c>
      <c r="AH136" s="463" t="str">
        <f>IF($N136="","",MCAin!$T152*$N136)</f>
        <v/>
      </c>
      <c r="AI136" s="345" t="str">
        <f>IF($O136="","",MCAin!$T152*$O136)</f>
        <v/>
      </c>
      <c r="AJ136" s="345" t="str">
        <f>IF($P136="","",MCAin!$T152*$P136)</f>
        <v/>
      </c>
      <c r="AK136" s="345" t="str">
        <f>IF($Q136="","",MCAin!$T152*$Q136)</f>
        <v/>
      </c>
      <c r="AL136" s="345" t="str">
        <f>IF($R136="","",MCAin!$R152*$R136)</f>
        <v/>
      </c>
      <c r="AM136" s="347" t="str">
        <f>IF($S136="","",MCAin!$S152*$S136)</f>
        <v/>
      </c>
      <c r="AN136" s="463" t="str">
        <f>IF($N136="","",MCAin!$U152*$N136)</f>
        <v/>
      </c>
      <c r="AO136" s="345" t="str">
        <f>IF($O136="","",MCAin!$U152*$O136)</f>
        <v/>
      </c>
      <c r="AP136" s="345" t="str">
        <f>IF($P136="","",MCAin!$U152*$P136)</f>
        <v/>
      </c>
      <c r="AQ136" s="345" t="str">
        <f>IF($Q136="","",MCAin!$U152*$Q136)</f>
        <v/>
      </c>
      <c r="AR136" s="345" t="str">
        <f>IF($R136="","",MCAin!$U152*$R136)</f>
        <v/>
      </c>
      <c r="AS136" s="347" t="str">
        <f>IF($S136="","",MCAin!$U152*$S136)</f>
        <v/>
      </c>
      <c r="AT136" s="463" t="str">
        <f>IF($N136="","",MCAin!$V152*$N136)</f>
        <v/>
      </c>
      <c r="AU136" s="345" t="str">
        <f>IF($O136="","",MCAin!$V152*$O136)</f>
        <v/>
      </c>
      <c r="AV136" s="345" t="str">
        <f>IF($P136="","",MCAin!$V152*$P136)</f>
        <v/>
      </c>
      <c r="AW136" s="345" t="str">
        <f>IF($Q136="","",MCAin!$V152*$Q136)</f>
        <v/>
      </c>
      <c r="AX136" s="345" t="str">
        <f>IF($R136="","",MCAin!$V152*$R136)</f>
        <v/>
      </c>
      <c r="AY136" s="347" t="str">
        <f>IF($S136="","",MCAin!$V152*$S136)</f>
        <v/>
      </c>
      <c r="AZ136" s="463" t="str">
        <f>IF($N136="","",MCAin!$W152*$N136)</f>
        <v/>
      </c>
      <c r="BA136" s="345" t="str">
        <f>IF($O136="","",MCAin!$W152*$O136)</f>
        <v/>
      </c>
      <c r="BB136" s="345" t="str">
        <f>IF($P136="","",MCAin!$W152*$P136)</f>
        <v/>
      </c>
      <c r="BC136" s="345" t="str">
        <f>IF($Q136="","",MCAin!$W152*$Q136)</f>
        <v/>
      </c>
      <c r="BD136" s="345" t="str">
        <f>IF($R136="","",MCAin!$W152*$R136)</f>
        <v/>
      </c>
      <c r="BE136" s="347" t="str">
        <f>IF($S136="","",MCAin!$W152*$S136)</f>
        <v/>
      </c>
      <c r="BF136" s="463" t="str">
        <f>IF($N136="","",MCAin!$X152*$N136)</f>
        <v/>
      </c>
      <c r="BG136" s="345" t="str">
        <f>IF($O136="","",MCAin!$X152*$O136)</f>
        <v/>
      </c>
      <c r="BH136" s="345" t="str">
        <f>IF($P136="","",MCAin!$X152*$P136)</f>
        <v/>
      </c>
      <c r="BI136" s="345" t="str">
        <f>IF($Q136="","",MCAin!$X152*$Q136)</f>
        <v/>
      </c>
      <c r="BJ136" s="345" t="str">
        <f>IF($R136="","",MCAin!$X152*$R136)</f>
        <v/>
      </c>
      <c r="BK136" s="347" t="str">
        <f>IF($S136="","",MCAin!$X152*$S136)</f>
        <v/>
      </c>
      <c r="BL136" s="463" t="str">
        <f>IF($N136="","",MCAin!$Y152*$N136)</f>
        <v/>
      </c>
      <c r="BM136" s="345" t="str">
        <f>IF($O136="","",MCAin!$Y152*$O136)</f>
        <v/>
      </c>
      <c r="BN136" s="345" t="str">
        <f>IF($P136="","",MCAin!$Y152*$P136)</f>
        <v/>
      </c>
      <c r="BO136" s="345" t="str">
        <f>IF($Q136="","",MCAin!$Y152*$Q136)</f>
        <v/>
      </c>
      <c r="BP136" s="345" t="str">
        <f>IF($R136="","",MCAin!$Y152*$R136)</f>
        <v/>
      </c>
      <c r="BQ136" s="347" t="str">
        <f>IF($S136="","",MCAin!$Y152*$S136)</f>
        <v/>
      </c>
      <c r="BR136" s="315"/>
      <c r="BS136" s="315"/>
      <c r="BT136" s="315"/>
      <c r="BU136" s="315"/>
      <c r="BV136" s="315"/>
      <c r="BW136" s="315"/>
      <c r="BX136" s="315"/>
      <c r="BY136" s="315"/>
      <c r="BZ136" s="315"/>
    </row>
    <row r="137" spans="1:78" ht="15" customHeight="1">
      <c r="A137" s="326"/>
      <c r="B137" s="330" t="str">
        <f>PTAout!D173</f>
        <v>Traffic safety (slight injuries)</v>
      </c>
      <c r="C137" s="326"/>
      <c r="D137" s="331"/>
      <c r="E137" s="331"/>
      <c r="F137" s="331"/>
      <c r="G137" s="331"/>
      <c r="H137" s="331"/>
      <c r="I137" s="331"/>
      <c r="J137" s="484">
        <f>IF(MCAin!O153="","",MCAin!O153)</f>
        <v>6</v>
      </c>
      <c r="K137" s="484">
        <f>IF(MCAin!P153="","",MCAin!P153)</f>
        <v>0</v>
      </c>
      <c r="L137" s="314"/>
      <c r="M137" s="343"/>
      <c r="N137" s="343" t="str">
        <f t="shared" ref="N137" si="28">IF(OR($M137&lt;&gt;1,D137=""),"",(D137-$J137)/($K137-$J137))</f>
        <v/>
      </c>
      <c r="O137" s="343" t="str">
        <f t="shared" ref="O137" si="29">IF(OR($M137&lt;&gt;1,E137=""),"",(E137-$J137)/($K137-$J137))</f>
        <v/>
      </c>
      <c r="P137" s="343" t="str">
        <f t="shared" ref="P137" si="30">IF(OR($M137&lt;&gt;1,F137=""),"",(F137-$J137)/($K137-$J137))</f>
        <v/>
      </c>
      <c r="Q137" s="343" t="str">
        <f t="shared" ref="Q137" si="31">IF(OR($M137&lt;&gt;1,G137=""),"",(G137-$J137)/($K137-$J137))</f>
        <v/>
      </c>
      <c r="R137" s="343" t="str">
        <f t="shared" ref="R137" si="32">IF(OR($M137&lt;&gt;1,H137=""),"",(H137-$J137)/($K137-$J137))</f>
        <v/>
      </c>
      <c r="S137" s="343" t="str">
        <f t="shared" ref="S137" si="33">IF(OR($M137&lt;&gt;1,I137=""),"",(I137-$J137)/($K137-$J137))</f>
        <v/>
      </c>
      <c r="T137" s="343"/>
      <c r="U137" s="344"/>
      <c r="V137" s="463" t="str">
        <f>IF($N137="","",MCAin!$R153*$N137)</f>
        <v/>
      </c>
      <c r="W137" s="345" t="str">
        <f>IF($O137="","",MCAin!$R153*$O137)</f>
        <v/>
      </c>
      <c r="X137" s="345" t="str">
        <f>IF($P137="","",MCAin!$R153*$P137)</f>
        <v/>
      </c>
      <c r="Y137" s="345" t="str">
        <f>IF($Q137="","",MCAin!$R153*$Q137)</f>
        <v/>
      </c>
      <c r="Z137" s="345" t="str">
        <f>IF($R137="","",MCAin!$R153*$R137)</f>
        <v/>
      </c>
      <c r="AA137" s="347" t="str">
        <f>IF($S137="","",MCAin!$R153*$S137)</f>
        <v/>
      </c>
      <c r="AB137" s="463" t="str">
        <f>IF($N137="","",MCAin!$S153*$N137)</f>
        <v/>
      </c>
      <c r="AC137" s="345" t="str">
        <f>IF($O137="","",MCAin!$S153*$O137)</f>
        <v/>
      </c>
      <c r="AD137" s="345" t="str">
        <f>IF($P137="","",MCAin!$S153*$P137)</f>
        <v/>
      </c>
      <c r="AE137" s="345" t="str">
        <f>IF($Q137="","",MCAin!$R153*$Q137)</f>
        <v/>
      </c>
      <c r="AF137" s="345" t="str">
        <f>IF($R137="","",MCAin!$R153*$R137)</f>
        <v/>
      </c>
      <c r="AG137" s="347" t="str">
        <f>IF($S137="","",MCAin!$S153*$S137)</f>
        <v/>
      </c>
      <c r="AH137" s="463" t="str">
        <f>IF($N137="","",MCAin!$T153*$N137)</f>
        <v/>
      </c>
      <c r="AI137" s="345" t="str">
        <f>IF($O137="","",MCAin!$T153*$O137)</f>
        <v/>
      </c>
      <c r="AJ137" s="345" t="str">
        <f>IF($P137="","",MCAin!$T153*$P137)</f>
        <v/>
      </c>
      <c r="AK137" s="345" t="str">
        <f>IF($Q137="","",MCAin!$T153*$Q137)</f>
        <v/>
      </c>
      <c r="AL137" s="345" t="str">
        <f>IF($R137="","",MCAin!$R153*$R137)</f>
        <v/>
      </c>
      <c r="AM137" s="347" t="str">
        <f>IF($S137="","",MCAin!$S153*$S137)</f>
        <v/>
      </c>
      <c r="AN137" s="463" t="str">
        <f>IF($N137="","",MCAin!$U153*$N137)</f>
        <v/>
      </c>
      <c r="AO137" s="345" t="str">
        <f>IF($O137="","",MCAin!$U153*$O137)</f>
        <v/>
      </c>
      <c r="AP137" s="345" t="str">
        <f>IF($P137="","",MCAin!$U153*$P137)</f>
        <v/>
      </c>
      <c r="AQ137" s="345" t="str">
        <f>IF($Q137="","",MCAin!$U153*$Q137)</f>
        <v/>
      </c>
      <c r="AR137" s="345" t="str">
        <f>IF($R137="","",MCAin!$U153*$R137)</f>
        <v/>
      </c>
      <c r="AS137" s="347" t="str">
        <f>IF($S137="","",MCAin!$U153*$S137)</f>
        <v/>
      </c>
      <c r="AT137" s="463" t="str">
        <f>IF($N137="","",MCAin!$V153*$N137)</f>
        <v/>
      </c>
      <c r="AU137" s="345" t="str">
        <f>IF($O137="","",MCAin!$V153*$O137)</f>
        <v/>
      </c>
      <c r="AV137" s="345" t="str">
        <f>IF($P137="","",MCAin!$V153*$P137)</f>
        <v/>
      </c>
      <c r="AW137" s="345" t="str">
        <f>IF($Q137="","",MCAin!$V153*$Q137)</f>
        <v/>
      </c>
      <c r="AX137" s="345" t="str">
        <f>IF($R137="","",MCAin!$V153*$R137)</f>
        <v/>
      </c>
      <c r="AY137" s="347" t="str">
        <f>IF($S137="","",MCAin!$V153*$S137)</f>
        <v/>
      </c>
      <c r="AZ137" s="463" t="str">
        <f>IF($N137="","",MCAin!$W153*$N137)</f>
        <v/>
      </c>
      <c r="BA137" s="345" t="str">
        <f>IF($O137="","",MCAin!$W153*$O137)</f>
        <v/>
      </c>
      <c r="BB137" s="345" t="str">
        <f>IF($P137="","",MCAin!$W153*$P137)</f>
        <v/>
      </c>
      <c r="BC137" s="345" t="str">
        <f>IF($Q137="","",MCAin!$W153*$Q137)</f>
        <v/>
      </c>
      <c r="BD137" s="345" t="str">
        <f>IF($R137="","",MCAin!$W153*$R137)</f>
        <v/>
      </c>
      <c r="BE137" s="347" t="str">
        <f>IF($S137="","",MCAin!$W153*$S137)</f>
        <v/>
      </c>
      <c r="BF137" s="463" t="str">
        <f>IF($N137="","",MCAin!$X153*$N137)</f>
        <v/>
      </c>
      <c r="BG137" s="345" t="str">
        <f>IF($O137="","",MCAin!$X153*$O137)</f>
        <v/>
      </c>
      <c r="BH137" s="345" t="str">
        <f>IF($P137="","",MCAin!$X153*$P137)</f>
        <v/>
      </c>
      <c r="BI137" s="345" t="str">
        <f>IF($Q137="","",MCAin!$X153*$Q137)</f>
        <v/>
      </c>
      <c r="BJ137" s="345" t="str">
        <f>IF($R137="","",MCAin!$X153*$R137)</f>
        <v/>
      </c>
      <c r="BK137" s="347" t="str">
        <f>IF($S137="","",MCAin!$X153*$S137)</f>
        <v/>
      </c>
      <c r="BL137" s="463" t="str">
        <f>IF($N137="","",MCAin!$Y153*$N137)</f>
        <v/>
      </c>
      <c r="BM137" s="345" t="str">
        <f>IF($O137="","",MCAin!$Y153*$O137)</f>
        <v/>
      </c>
      <c r="BN137" s="345" t="str">
        <f>IF($P137="","",MCAin!$Y153*$P137)</f>
        <v/>
      </c>
      <c r="BO137" s="345" t="str">
        <f>IF($Q137="","",MCAin!$Y153*$Q137)</f>
        <v/>
      </c>
      <c r="BP137" s="345" t="str">
        <f>IF($R137="","",MCAin!$Y153*$R137)</f>
        <v/>
      </c>
      <c r="BQ137" s="347" t="str">
        <f>IF($S137="","",MCAin!$Y153*$S137)</f>
        <v/>
      </c>
      <c r="BR137" s="315"/>
      <c r="BS137" s="315"/>
      <c r="BT137" s="315"/>
      <c r="BU137" s="315"/>
      <c r="BV137" s="315"/>
      <c r="BW137" s="315"/>
      <c r="BX137" s="315"/>
      <c r="BY137" s="315"/>
      <c r="BZ137" s="315"/>
    </row>
    <row r="138" spans="1:78" ht="15" customHeight="1">
      <c r="A138" s="326"/>
      <c r="B138" s="330" t="str">
        <f>PTAout!D174</f>
        <v>Traffic safety (property damage)</v>
      </c>
      <c r="C138" s="326"/>
      <c r="D138" s="331"/>
      <c r="E138" s="331"/>
      <c r="F138" s="331"/>
      <c r="G138" s="331"/>
      <c r="H138" s="331"/>
      <c r="I138" s="331"/>
      <c r="J138" s="484">
        <f>IF(MCAin!O154="","",MCAin!O154)</f>
        <v>6</v>
      </c>
      <c r="K138" s="484">
        <f>IF(MCAin!P154="","",MCAin!P154)</f>
        <v>0</v>
      </c>
      <c r="L138" s="314"/>
      <c r="M138" s="343"/>
      <c r="N138" s="343" t="str">
        <f t="shared" ref="N138" si="34">IF(OR($M138&lt;&gt;1,D138=""),"",(D138-$J138)/($K138-$J138))</f>
        <v/>
      </c>
      <c r="O138" s="343" t="str">
        <f t="shared" ref="O138" si="35">IF(OR($M138&lt;&gt;1,E138=""),"",(E138-$J138)/($K138-$J138))</f>
        <v/>
      </c>
      <c r="P138" s="343" t="str">
        <f t="shared" ref="P138" si="36">IF(OR($M138&lt;&gt;1,F138=""),"",(F138-$J138)/($K138-$J138))</f>
        <v/>
      </c>
      <c r="Q138" s="343" t="str">
        <f t="shared" ref="Q138" si="37">IF(OR($M138&lt;&gt;1,G138=""),"",(G138-$J138)/($K138-$J138))</f>
        <v/>
      </c>
      <c r="R138" s="343" t="str">
        <f t="shared" ref="R138" si="38">IF(OR($M138&lt;&gt;1,H138=""),"",(H138-$J138)/($K138-$J138))</f>
        <v/>
      </c>
      <c r="S138" s="343" t="str">
        <f t="shared" ref="S138" si="39">IF(OR($M138&lt;&gt;1,I138=""),"",(I138-$J138)/($K138-$J138))</f>
        <v/>
      </c>
      <c r="T138" s="343"/>
      <c r="U138" s="344"/>
      <c r="V138" s="463" t="str">
        <f>IF($N138="","",MCAin!$R154*$N138)</f>
        <v/>
      </c>
      <c r="W138" s="345" t="str">
        <f>IF($O138="","",MCAin!$R154*$O138)</f>
        <v/>
      </c>
      <c r="X138" s="345" t="str">
        <f>IF($P138="","",MCAin!$R154*$P138)</f>
        <v/>
      </c>
      <c r="Y138" s="345" t="str">
        <f>IF($Q138="","",MCAin!$R154*$Q138)</f>
        <v/>
      </c>
      <c r="Z138" s="345" t="str">
        <f>IF($R138="","",MCAin!$R154*$R138)</f>
        <v/>
      </c>
      <c r="AA138" s="347" t="str">
        <f>IF($S138="","",MCAin!$R154*$S138)</f>
        <v/>
      </c>
      <c r="AB138" s="463" t="str">
        <f>IF($N138="","",MCAin!$S154*$N138)</f>
        <v/>
      </c>
      <c r="AC138" s="345" t="str">
        <f>IF($O138="","",MCAin!$S154*$O138)</f>
        <v/>
      </c>
      <c r="AD138" s="345" t="str">
        <f>IF($P138="","",MCAin!$S154*$P138)</f>
        <v/>
      </c>
      <c r="AE138" s="345" t="str">
        <f>IF($Q138="","",MCAin!$R154*$Q138)</f>
        <v/>
      </c>
      <c r="AF138" s="345" t="str">
        <f>IF($R138="","",MCAin!$R154*$R138)</f>
        <v/>
      </c>
      <c r="AG138" s="347" t="str">
        <f>IF($S138="","",MCAin!$S154*$S138)</f>
        <v/>
      </c>
      <c r="AH138" s="463" t="str">
        <f>IF($N138="","",MCAin!$T154*$N138)</f>
        <v/>
      </c>
      <c r="AI138" s="345" t="str">
        <f>IF($O138="","",MCAin!$T154*$O138)</f>
        <v/>
      </c>
      <c r="AJ138" s="345" t="str">
        <f>IF($P138="","",MCAin!$T154*$P138)</f>
        <v/>
      </c>
      <c r="AK138" s="345" t="str">
        <f>IF($Q138="","",MCAin!$T154*$Q138)</f>
        <v/>
      </c>
      <c r="AL138" s="345" t="str">
        <f>IF($R138="","",MCAin!$R154*$R138)</f>
        <v/>
      </c>
      <c r="AM138" s="347" t="str">
        <f>IF($S138="","",MCAin!$S154*$S138)</f>
        <v/>
      </c>
      <c r="AN138" s="463" t="str">
        <f>IF($N138="","",MCAin!$U154*$N138)</f>
        <v/>
      </c>
      <c r="AO138" s="345" t="str">
        <f>IF($O138="","",MCAin!$U154*$O138)</f>
        <v/>
      </c>
      <c r="AP138" s="345" t="str">
        <f>IF($P138="","",MCAin!$U154*$P138)</f>
        <v/>
      </c>
      <c r="AQ138" s="345" t="str">
        <f>IF($Q138="","",MCAin!$U154*$Q138)</f>
        <v/>
      </c>
      <c r="AR138" s="345" t="str">
        <f>IF($R138="","",MCAin!$U154*$R138)</f>
        <v/>
      </c>
      <c r="AS138" s="347" t="str">
        <f>IF($S138="","",MCAin!$U154*$S138)</f>
        <v/>
      </c>
      <c r="AT138" s="463" t="str">
        <f>IF($N138="","",MCAin!$V154*$N138)</f>
        <v/>
      </c>
      <c r="AU138" s="345" t="str">
        <f>IF($O138="","",MCAin!$V154*$O138)</f>
        <v/>
      </c>
      <c r="AV138" s="345" t="str">
        <f>IF($P138="","",MCAin!$V154*$P138)</f>
        <v/>
      </c>
      <c r="AW138" s="345" t="str">
        <f>IF($Q138="","",MCAin!$V154*$Q138)</f>
        <v/>
      </c>
      <c r="AX138" s="345" t="str">
        <f>IF($R138="","",MCAin!$V154*$R138)</f>
        <v/>
      </c>
      <c r="AY138" s="347" t="str">
        <f>IF($S138="","",MCAin!$V154*$S138)</f>
        <v/>
      </c>
      <c r="AZ138" s="463" t="str">
        <f>IF($N138="","",MCAin!$W154*$N138)</f>
        <v/>
      </c>
      <c r="BA138" s="345" t="str">
        <f>IF($O138="","",MCAin!$W154*$O138)</f>
        <v/>
      </c>
      <c r="BB138" s="345" t="str">
        <f>IF($P138="","",MCAin!$W154*$P138)</f>
        <v/>
      </c>
      <c r="BC138" s="345" t="str">
        <f>IF($Q138="","",MCAin!$W154*$Q138)</f>
        <v/>
      </c>
      <c r="BD138" s="345" t="str">
        <f>IF($R138="","",MCAin!$W154*$R138)</f>
        <v/>
      </c>
      <c r="BE138" s="347" t="str">
        <f>IF($S138="","",MCAin!$W154*$S138)</f>
        <v/>
      </c>
      <c r="BF138" s="463" t="str">
        <f>IF($N138="","",MCAin!$X154*$N138)</f>
        <v/>
      </c>
      <c r="BG138" s="345" t="str">
        <f>IF($O138="","",MCAin!$X154*$O138)</f>
        <v/>
      </c>
      <c r="BH138" s="345" t="str">
        <f>IF($P138="","",MCAin!$X154*$P138)</f>
        <v/>
      </c>
      <c r="BI138" s="345" t="str">
        <f>IF($Q138="","",MCAin!$X154*$Q138)</f>
        <v/>
      </c>
      <c r="BJ138" s="345" t="str">
        <f>IF($R138="","",MCAin!$X154*$R138)</f>
        <v/>
      </c>
      <c r="BK138" s="347" t="str">
        <f>IF($S138="","",MCAin!$X154*$S138)</f>
        <v/>
      </c>
      <c r="BL138" s="463" t="str">
        <f>IF($N138="","",MCAin!$Y154*$N138)</f>
        <v/>
      </c>
      <c r="BM138" s="345" t="str">
        <f>IF($O138="","",MCAin!$Y154*$O138)</f>
        <v/>
      </c>
      <c r="BN138" s="345" t="str">
        <f>IF($P138="","",MCAin!$Y154*$P138)</f>
        <v/>
      </c>
      <c r="BO138" s="345" t="str">
        <f>IF($Q138="","",MCAin!$Y154*$Q138)</f>
        <v/>
      </c>
      <c r="BP138" s="345" t="str">
        <f>IF($R138="","",MCAin!$Y154*$R138)</f>
        <v/>
      </c>
      <c r="BQ138" s="347" t="str">
        <f>IF($S138="","",MCAin!$Y154*$S138)</f>
        <v/>
      </c>
      <c r="BR138" s="315"/>
      <c r="BS138" s="315"/>
      <c r="BT138" s="315"/>
      <c r="BU138" s="315"/>
      <c r="BV138" s="315"/>
      <c r="BW138" s="315"/>
      <c r="BX138" s="315"/>
      <c r="BY138" s="315"/>
      <c r="BZ138" s="315"/>
    </row>
    <row r="139" spans="1:78" ht="15" customHeight="1">
      <c r="A139" s="314"/>
      <c r="B139" s="110" t="str">
        <f>PTAout!D175</f>
        <v>Community severance</v>
      </c>
      <c r="C139" s="233"/>
      <c r="D139" s="416" t="str">
        <f>PTAout!H175</f>
        <v/>
      </c>
      <c r="E139" s="416" t="str">
        <f>PTAout!L175</f>
        <v/>
      </c>
      <c r="F139" s="416" t="str">
        <f>PTAout!Q175</f>
        <v/>
      </c>
      <c r="G139" s="416" t="str">
        <f>PTAout!V175</f>
        <v/>
      </c>
      <c r="H139" s="416" t="str">
        <f>PTAout!AA175</f>
        <v/>
      </c>
      <c r="I139" s="416" t="str">
        <f>PTAout!AF175</f>
        <v/>
      </c>
      <c r="J139" s="487">
        <f>IF(MCAin!O155="","",MCAin!O155)</f>
        <v>0</v>
      </c>
      <c r="K139" s="487">
        <f>IF(MCAin!P155="","",MCAin!P155)</f>
        <v>1</v>
      </c>
      <c r="L139" s="314"/>
      <c r="M139" s="343"/>
      <c r="N139" s="343" t="str">
        <f t="shared" si="21"/>
        <v/>
      </c>
      <c r="O139" s="343" t="str">
        <f t="shared" si="21"/>
        <v/>
      </c>
      <c r="P139" s="343" t="str">
        <f t="shared" si="21"/>
        <v/>
      </c>
      <c r="Q139" s="343" t="str">
        <f t="shared" si="21"/>
        <v/>
      </c>
      <c r="R139" s="343" t="str">
        <f t="shared" si="21"/>
        <v/>
      </c>
      <c r="S139" s="343" t="str">
        <f t="shared" si="21"/>
        <v/>
      </c>
      <c r="T139" s="343"/>
      <c r="U139" s="344"/>
      <c r="V139" s="463" t="str">
        <f>IF($N139="","",MCAin!$R155*$N139)</f>
        <v/>
      </c>
      <c r="W139" s="345" t="str">
        <f>IF($O139="","",MCAin!$R155*$O139)</f>
        <v/>
      </c>
      <c r="X139" s="345" t="str">
        <f>IF($P139="","",MCAin!$R155*$P139)</f>
        <v/>
      </c>
      <c r="Y139" s="345" t="str">
        <f>IF($Q139="","",MCAin!$R155*$Q139)</f>
        <v/>
      </c>
      <c r="Z139" s="345" t="str">
        <f>IF($R139="","",MCAin!$R155*$R139)</f>
        <v/>
      </c>
      <c r="AA139" s="347" t="str">
        <f>IF($S139="","",MCAin!$R155*$S139)</f>
        <v/>
      </c>
      <c r="AB139" s="463" t="str">
        <f>IF($N139="","",MCAin!$S155*$N139)</f>
        <v/>
      </c>
      <c r="AC139" s="345" t="str">
        <f>IF($O139="","",MCAin!$S155*$O139)</f>
        <v/>
      </c>
      <c r="AD139" s="345" t="str">
        <f>IF($P139="","",MCAin!$S155*$P139)</f>
        <v/>
      </c>
      <c r="AE139" s="345" t="str">
        <f>IF($Q139="","",MCAin!$R155*$Q139)</f>
        <v/>
      </c>
      <c r="AF139" s="345" t="str">
        <f>IF($R139="","",MCAin!$R155*$R139)</f>
        <v/>
      </c>
      <c r="AG139" s="347" t="str">
        <f>IF($S139="","",MCAin!$S155*$S139)</f>
        <v/>
      </c>
      <c r="AH139" s="463" t="str">
        <f>IF($N139="","",MCAin!$T155*$N139)</f>
        <v/>
      </c>
      <c r="AI139" s="345" t="str">
        <f>IF($O139="","",MCAin!$T155*$O139)</f>
        <v/>
      </c>
      <c r="AJ139" s="345" t="str">
        <f>IF($P139="","",MCAin!$T155*$P139)</f>
        <v/>
      </c>
      <c r="AK139" s="345" t="str">
        <f>IF($Q139="","",MCAin!$T155*$Q139)</f>
        <v/>
      </c>
      <c r="AL139" s="345" t="str">
        <f>IF($R139="","",MCAin!$R155*$R139)</f>
        <v/>
      </c>
      <c r="AM139" s="347" t="str">
        <f>IF($S139="","",MCAin!$S155*$S139)</f>
        <v/>
      </c>
      <c r="AN139" s="463" t="str">
        <f>IF($N139="","",MCAin!$U155*$N139)</f>
        <v/>
      </c>
      <c r="AO139" s="345" t="str">
        <f>IF($O139="","",MCAin!$U155*$O139)</f>
        <v/>
      </c>
      <c r="AP139" s="345" t="str">
        <f>IF($P139="","",MCAin!$U155*$P139)</f>
        <v/>
      </c>
      <c r="AQ139" s="345" t="str">
        <f>IF($Q139="","",MCAin!$U155*$Q139)</f>
        <v/>
      </c>
      <c r="AR139" s="345" t="str">
        <f>IF($R139="","",MCAin!$U155*$R139)</f>
        <v/>
      </c>
      <c r="AS139" s="347" t="str">
        <f>IF($S139="","",MCAin!$U155*$S139)</f>
        <v/>
      </c>
      <c r="AT139" s="463" t="str">
        <f>IF($N139="","",MCAin!$V155*$N139)</f>
        <v/>
      </c>
      <c r="AU139" s="345" t="str">
        <f>IF($O139="","",MCAin!$V155*$O139)</f>
        <v/>
      </c>
      <c r="AV139" s="345" t="str">
        <f>IF($P139="","",MCAin!$V155*$P139)</f>
        <v/>
      </c>
      <c r="AW139" s="345" t="str">
        <f>IF($Q139="","",MCAin!$V155*$Q139)</f>
        <v/>
      </c>
      <c r="AX139" s="345" t="str">
        <f>IF($R139="","",MCAin!$V155*$R139)</f>
        <v/>
      </c>
      <c r="AY139" s="347" t="str">
        <f>IF($S139="","",MCAin!$V155*$S139)</f>
        <v/>
      </c>
      <c r="AZ139" s="463" t="str">
        <f>IF($N139="","",MCAin!$W155*$N139)</f>
        <v/>
      </c>
      <c r="BA139" s="345" t="str">
        <f>IF($O139="","",MCAin!$W155*$O139)</f>
        <v/>
      </c>
      <c r="BB139" s="345" t="str">
        <f>IF($P139="","",MCAin!$W155*$P139)</f>
        <v/>
      </c>
      <c r="BC139" s="345" t="str">
        <f>IF($Q139="","",MCAin!$W155*$Q139)</f>
        <v/>
      </c>
      <c r="BD139" s="345" t="str">
        <f>IF($R139="","",MCAin!$W155*$R139)</f>
        <v/>
      </c>
      <c r="BE139" s="347" t="str">
        <f>IF($S139="","",MCAin!$W155*$S139)</f>
        <v/>
      </c>
      <c r="BF139" s="463" t="str">
        <f>IF($N139="","",MCAin!$X155*$N139)</f>
        <v/>
      </c>
      <c r="BG139" s="345" t="str">
        <f>IF($O139="","",MCAin!$X155*$O139)</f>
        <v/>
      </c>
      <c r="BH139" s="345" t="str">
        <f>IF($P139="","",MCAin!$X155*$P139)</f>
        <v/>
      </c>
      <c r="BI139" s="345" t="str">
        <f>IF($Q139="","",MCAin!$X155*$Q139)</f>
        <v/>
      </c>
      <c r="BJ139" s="345" t="str">
        <f>IF($R139="","",MCAin!$X155*$R139)</f>
        <v/>
      </c>
      <c r="BK139" s="347" t="str">
        <f>IF($S139="","",MCAin!$X155*$S139)</f>
        <v/>
      </c>
      <c r="BL139" s="463" t="str">
        <f>IF($N139="","",MCAin!$Y155*$N139)</f>
        <v/>
      </c>
      <c r="BM139" s="345" t="str">
        <f>IF($O139="","",MCAin!$Y155*$O139)</f>
        <v/>
      </c>
      <c r="BN139" s="345" t="str">
        <f>IF($P139="","",MCAin!$Y155*$P139)</f>
        <v/>
      </c>
      <c r="BO139" s="345" t="str">
        <f>IF($Q139="","",MCAin!$Y155*$Q139)</f>
        <v/>
      </c>
      <c r="BP139" s="345" t="str">
        <f>IF($R139="","",MCAin!$Y155*$R139)</f>
        <v/>
      </c>
      <c r="BQ139" s="347" t="str">
        <f>IF($S139="","",MCAin!$Y155*$S139)</f>
        <v/>
      </c>
      <c r="BR139" s="315"/>
      <c r="BS139" s="315"/>
      <c r="BT139" s="315"/>
      <c r="BU139" s="315"/>
      <c r="BV139" s="315"/>
      <c r="BW139" s="315"/>
      <c r="BX139" s="315"/>
      <c r="BY139" s="315"/>
      <c r="BZ139" s="315"/>
    </row>
    <row r="140" spans="1:78" ht="15" customHeight="1">
      <c r="A140" s="314"/>
      <c r="B140" s="110" t="str">
        <f>PTAout!D176</f>
        <v>Personal security</v>
      </c>
      <c r="C140" s="233"/>
      <c r="D140" s="331" t="str">
        <f>PTAout!H176</f>
        <v/>
      </c>
      <c r="E140" s="331" t="str">
        <f>PTAout!L176</f>
        <v/>
      </c>
      <c r="F140" s="331" t="str">
        <f>PTAout!Q176</f>
        <v/>
      </c>
      <c r="G140" s="331" t="str">
        <f>PTAout!V176</f>
        <v/>
      </c>
      <c r="H140" s="331" t="str">
        <f>PTAout!AA176</f>
        <v/>
      </c>
      <c r="I140" s="331" t="str">
        <f>PTAout!AF176</f>
        <v/>
      </c>
      <c r="J140" s="488">
        <f>IF(MCAin!O156="","",MCAin!O156)</f>
        <v>0</v>
      </c>
      <c r="K140" s="488">
        <f>IF(MCAin!P156="","",MCAin!P156)</f>
        <v>100</v>
      </c>
      <c r="L140" s="314"/>
      <c r="M140" s="343"/>
      <c r="N140" s="343" t="str">
        <f t="shared" si="21"/>
        <v/>
      </c>
      <c r="O140" s="343" t="str">
        <f t="shared" si="21"/>
        <v/>
      </c>
      <c r="P140" s="343" t="str">
        <f t="shared" si="21"/>
        <v/>
      </c>
      <c r="Q140" s="343" t="str">
        <f t="shared" si="21"/>
        <v/>
      </c>
      <c r="R140" s="343" t="str">
        <f t="shared" si="21"/>
        <v/>
      </c>
      <c r="S140" s="343" t="str">
        <f t="shared" si="21"/>
        <v/>
      </c>
      <c r="T140" s="343"/>
      <c r="U140" s="344"/>
      <c r="V140" s="463" t="str">
        <f>IF($N140="","",MCAin!$R156*$N140)</f>
        <v/>
      </c>
      <c r="W140" s="345" t="str">
        <f>IF($O140="","",MCAin!$R156*$O140)</f>
        <v/>
      </c>
      <c r="X140" s="345" t="str">
        <f>IF($P140="","",MCAin!$R156*$P140)</f>
        <v/>
      </c>
      <c r="Y140" s="345" t="str">
        <f>IF($Q140="","",MCAin!$R156*$Q140)</f>
        <v/>
      </c>
      <c r="Z140" s="345" t="str">
        <f>IF($R140="","",MCAin!$R156*$R140)</f>
        <v/>
      </c>
      <c r="AA140" s="347" t="str">
        <f>IF($S140="","",MCAin!$R156*$S140)</f>
        <v/>
      </c>
      <c r="AB140" s="463" t="str">
        <f>IF($N140="","",MCAin!$S156*$N140)</f>
        <v/>
      </c>
      <c r="AC140" s="345" t="str">
        <f>IF($O140="","",MCAin!$S156*$O140)</f>
        <v/>
      </c>
      <c r="AD140" s="345" t="str">
        <f>IF($P140="","",MCAin!$S156*$P140)</f>
        <v/>
      </c>
      <c r="AE140" s="345" t="str">
        <f>IF($Q140="","",MCAin!$R156*$Q140)</f>
        <v/>
      </c>
      <c r="AF140" s="345" t="str">
        <f>IF($R140="","",MCAin!$R156*$R140)</f>
        <v/>
      </c>
      <c r="AG140" s="347" t="str">
        <f>IF($S140="","",MCAin!$S156*$S140)</f>
        <v/>
      </c>
      <c r="AH140" s="463" t="str">
        <f>IF($N140="","",MCAin!$T156*$N140)</f>
        <v/>
      </c>
      <c r="AI140" s="345" t="str">
        <f>IF($O140="","",MCAin!$T156*$O140)</f>
        <v/>
      </c>
      <c r="AJ140" s="345" t="str">
        <f>IF($P140="","",MCAin!$T156*$P140)</f>
        <v/>
      </c>
      <c r="AK140" s="345" t="str">
        <f>IF($Q140="","",MCAin!$T156*$Q140)</f>
        <v/>
      </c>
      <c r="AL140" s="345" t="str">
        <f>IF($R140="","",MCAin!$R156*$R140)</f>
        <v/>
      </c>
      <c r="AM140" s="347" t="str">
        <f>IF($S140="","",MCAin!$S156*$S140)</f>
        <v/>
      </c>
      <c r="AN140" s="463" t="str">
        <f>IF($N140="","",MCAin!$U156*$N140)</f>
        <v/>
      </c>
      <c r="AO140" s="345" t="str">
        <f>IF($O140="","",MCAin!$U156*$O140)</f>
        <v/>
      </c>
      <c r="AP140" s="345" t="str">
        <f>IF($P140="","",MCAin!$U156*$P140)</f>
        <v/>
      </c>
      <c r="AQ140" s="345" t="str">
        <f>IF($Q140="","",MCAin!$U156*$Q140)</f>
        <v/>
      </c>
      <c r="AR140" s="345" t="str">
        <f>IF($R140="","",MCAin!$U156*$R140)</f>
        <v/>
      </c>
      <c r="AS140" s="347" t="str">
        <f>IF($S140="","",MCAin!$U156*$S140)</f>
        <v/>
      </c>
      <c r="AT140" s="463" t="str">
        <f>IF($N140="","",MCAin!$V156*$N140)</f>
        <v/>
      </c>
      <c r="AU140" s="345" t="str">
        <f>IF($O140="","",MCAin!$V156*$O140)</f>
        <v/>
      </c>
      <c r="AV140" s="345" t="str">
        <f>IF($P140="","",MCAin!$V156*$P140)</f>
        <v/>
      </c>
      <c r="AW140" s="345" t="str">
        <f>IF($Q140="","",MCAin!$V156*$Q140)</f>
        <v/>
      </c>
      <c r="AX140" s="345" t="str">
        <f>IF($R140="","",MCAin!$V156*$R140)</f>
        <v/>
      </c>
      <c r="AY140" s="347" t="str">
        <f>IF($S140="","",MCAin!$V156*$S140)</f>
        <v/>
      </c>
      <c r="AZ140" s="463" t="str">
        <f>IF($N140="","",MCAin!$W156*$N140)</f>
        <v/>
      </c>
      <c r="BA140" s="345" t="str">
        <f>IF($O140="","",MCAin!$W156*$O140)</f>
        <v/>
      </c>
      <c r="BB140" s="345" t="str">
        <f>IF($P140="","",MCAin!$W156*$P140)</f>
        <v/>
      </c>
      <c r="BC140" s="345" t="str">
        <f>IF($Q140="","",MCAin!$W156*$Q140)</f>
        <v/>
      </c>
      <c r="BD140" s="345" t="str">
        <f>IF($R140="","",MCAin!$W156*$R140)</f>
        <v/>
      </c>
      <c r="BE140" s="347" t="str">
        <f>IF($S140="","",MCAin!$W156*$S140)</f>
        <v/>
      </c>
      <c r="BF140" s="463" t="str">
        <f>IF($N140="","",MCAin!$X156*$N140)</f>
        <v/>
      </c>
      <c r="BG140" s="345" t="str">
        <f>IF($O140="","",MCAin!$X156*$O140)</f>
        <v/>
      </c>
      <c r="BH140" s="345" t="str">
        <f>IF($P140="","",MCAin!$X156*$P140)</f>
        <v/>
      </c>
      <c r="BI140" s="345" t="str">
        <f>IF($Q140="","",MCAin!$X156*$Q140)</f>
        <v/>
      </c>
      <c r="BJ140" s="345" t="str">
        <f>IF($R140="","",MCAin!$X156*$R140)</f>
        <v/>
      </c>
      <c r="BK140" s="347" t="str">
        <f>IF($S140="","",MCAin!$X156*$S140)</f>
        <v/>
      </c>
      <c r="BL140" s="463" t="str">
        <f>IF($N140="","",MCAin!$Y156*$N140)</f>
        <v/>
      </c>
      <c r="BM140" s="345" t="str">
        <f>IF($O140="","",MCAin!$Y156*$O140)</f>
        <v/>
      </c>
      <c r="BN140" s="345" t="str">
        <f>IF($P140="","",MCAin!$Y156*$P140)</f>
        <v/>
      </c>
      <c r="BO140" s="345" t="str">
        <f>IF($Q140="","",MCAin!$Y156*$Q140)</f>
        <v/>
      </c>
      <c r="BP140" s="345" t="str">
        <f>IF($R140="","",MCAin!$Y156*$R140)</f>
        <v/>
      </c>
      <c r="BQ140" s="347" t="str">
        <f>IF($S140="","",MCAin!$Y156*$S140)</f>
        <v/>
      </c>
      <c r="BR140" s="315"/>
      <c r="BS140" s="315"/>
      <c r="BT140" s="315"/>
      <c r="BU140" s="315"/>
      <c r="BV140" s="315"/>
      <c r="BW140" s="315"/>
      <c r="BX140" s="315"/>
      <c r="BY140" s="315"/>
      <c r="BZ140" s="315"/>
    </row>
    <row r="141" spans="1:78" ht="15" customHeight="1">
      <c r="A141" s="314"/>
      <c r="B141" s="110" t="str">
        <f>PTAout!D177</f>
        <v>Physical activity</v>
      </c>
      <c r="C141" s="233"/>
      <c r="D141" s="331" t="str">
        <f>PTAout!H177</f>
        <v/>
      </c>
      <c r="E141" s="331" t="str">
        <f>PTAout!L177</f>
        <v/>
      </c>
      <c r="F141" s="331" t="str">
        <f>PTAout!Q177</f>
        <v/>
      </c>
      <c r="G141" s="331" t="str">
        <f>PTAout!V177</f>
        <v/>
      </c>
      <c r="H141" s="331" t="str">
        <f>PTAout!AA177</f>
        <v/>
      </c>
      <c r="I141" s="331" t="str">
        <f>PTAout!AF177</f>
        <v/>
      </c>
      <c r="J141" s="488">
        <f>IF(MCAin!O157="","",MCAin!O157)</f>
        <v>0</v>
      </c>
      <c r="K141" s="488">
        <f>IF(MCAin!P157="","",MCAin!P157)</f>
        <v>100</v>
      </c>
      <c r="L141" s="314"/>
      <c r="M141" s="343"/>
      <c r="N141" s="343" t="str">
        <f t="shared" si="21"/>
        <v/>
      </c>
      <c r="O141" s="343" t="str">
        <f t="shared" si="21"/>
        <v/>
      </c>
      <c r="P141" s="343" t="str">
        <f t="shared" si="21"/>
        <v/>
      </c>
      <c r="Q141" s="343" t="str">
        <f t="shared" si="21"/>
        <v/>
      </c>
      <c r="R141" s="343" t="str">
        <f t="shared" si="21"/>
        <v/>
      </c>
      <c r="S141" s="343" t="str">
        <f t="shared" si="21"/>
        <v/>
      </c>
      <c r="T141" s="343"/>
      <c r="U141" s="344"/>
      <c r="V141" s="463" t="str">
        <f>IF($N141="","",MCAin!$R157*$N141)</f>
        <v/>
      </c>
      <c r="W141" s="345" t="str">
        <f>IF($O141="","",MCAin!$R157*$O141)</f>
        <v/>
      </c>
      <c r="X141" s="345" t="str">
        <f>IF($P141="","",MCAin!$R157*$P141)</f>
        <v/>
      </c>
      <c r="Y141" s="345" t="str">
        <f>IF($Q141="","",MCAin!$R157*$Q141)</f>
        <v/>
      </c>
      <c r="Z141" s="345" t="str">
        <f>IF($R141="","",MCAin!$R157*$R141)</f>
        <v/>
      </c>
      <c r="AA141" s="347" t="str">
        <f>IF($S141="","",MCAin!$R157*$S141)</f>
        <v/>
      </c>
      <c r="AB141" s="463" t="str">
        <f>IF($N141="","",MCAin!$S157*$N141)</f>
        <v/>
      </c>
      <c r="AC141" s="345" t="str">
        <f>IF($O141="","",MCAin!$S157*$O141)</f>
        <v/>
      </c>
      <c r="AD141" s="345" t="str">
        <f>IF($P141="","",MCAin!$S157*$P141)</f>
        <v/>
      </c>
      <c r="AE141" s="345" t="str">
        <f>IF($Q141="","",MCAin!$R157*$Q141)</f>
        <v/>
      </c>
      <c r="AF141" s="345" t="str">
        <f>IF($R141="","",MCAin!$R157*$R141)</f>
        <v/>
      </c>
      <c r="AG141" s="347" t="str">
        <f>IF($S141="","",MCAin!$S157*$S141)</f>
        <v/>
      </c>
      <c r="AH141" s="463" t="str">
        <f>IF($N141="","",MCAin!$T157*$N141)</f>
        <v/>
      </c>
      <c r="AI141" s="345" t="str">
        <f>IF($O141="","",MCAin!$T157*$O141)</f>
        <v/>
      </c>
      <c r="AJ141" s="345" t="str">
        <f>IF($P141="","",MCAin!$T157*$P141)</f>
        <v/>
      </c>
      <c r="AK141" s="345" t="str">
        <f>IF($Q141="","",MCAin!$T157*$Q141)</f>
        <v/>
      </c>
      <c r="AL141" s="345" t="str">
        <f>IF($R141="","",MCAin!$R157*$R141)</f>
        <v/>
      </c>
      <c r="AM141" s="347" t="str">
        <f>IF($S141="","",MCAin!$S157*$S141)</f>
        <v/>
      </c>
      <c r="AN141" s="463" t="str">
        <f>IF($N141="","",MCAin!$U157*$N141)</f>
        <v/>
      </c>
      <c r="AO141" s="345" t="str">
        <f>IF($O141="","",MCAin!$U157*$O141)</f>
        <v/>
      </c>
      <c r="AP141" s="345" t="str">
        <f>IF($P141="","",MCAin!$U157*$P141)</f>
        <v/>
      </c>
      <c r="AQ141" s="345" t="str">
        <f>IF($Q141="","",MCAin!$U157*$Q141)</f>
        <v/>
      </c>
      <c r="AR141" s="345" t="str">
        <f>IF($R141="","",MCAin!$U157*$R141)</f>
        <v/>
      </c>
      <c r="AS141" s="347" t="str">
        <f>IF($S141="","",MCAin!$U157*$S141)</f>
        <v/>
      </c>
      <c r="AT141" s="463" t="str">
        <f>IF($N141="","",MCAin!$V157*$N141)</f>
        <v/>
      </c>
      <c r="AU141" s="345" t="str">
        <f>IF($O141="","",MCAin!$V157*$O141)</f>
        <v/>
      </c>
      <c r="AV141" s="345" t="str">
        <f>IF($P141="","",MCAin!$V157*$P141)</f>
        <v/>
      </c>
      <c r="AW141" s="345" t="str">
        <f>IF($Q141="","",MCAin!$V157*$Q141)</f>
        <v/>
      </c>
      <c r="AX141" s="345" t="str">
        <f>IF($R141="","",MCAin!$V157*$R141)</f>
        <v/>
      </c>
      <c r="AY141" s="347" t="str">
        <f>IF($S141="","",MCAin!$V157*$S141)</f>
        <v/>
      </c>
      <c r="AZ141" s="345" t="str">
        <f>IF($N141="","",MCAin!$W157*$N141)</f>
        <v/>
      </c>
      <c r="BA141" s="345" t="str">
        <f>IF($O141="","",MCAin!$W157*$O141)</f>
        <v/>
      </c>
      <c r="BB141" s="345" t="str">
        <f>IF($P141="","",MCAin!$W157*$P141)</f>
        <v/>
      </c>
      <c r="BC141" s="345" t="str">
        <f>IF($Q141="","",MCAin!$W157*$Q141)</f>
        <v/>
      </c>
      <c r="BD141" s="345" t="str">
        <f>IF($R141="","",MCAin!$W157*$R141)</f>
        <v/>
      </c>
      <c r="BE141" s="347" t="str">
        <f>IF($S141="","",MCAin!$W157*$S141)</f>
        <v/>
      </c>
      <c r="BF141" s="463" t="str">
        <f>IF($N141="","",MCAin!$X157*$N141)</f>
        <v/>
      </c>
      <c r="BG141" s="345" t="str">
        <f>IF($O141="","",MCAin!$X157*$O141)</f>
        <v/>
      </c>
      <c r="BH141" s="345" t="str">
        <f>IF($P141="","",MCAin!$X157*$P141)</f>
        <v/>
      </c>
      <c r="BI141" s="345" t="str">
        <f>IF($Q141="","",MCAin!$X157*$Q141)</f>
        <v/>
      </c>
      <c r="BJ141" s="345" t="str">
        <f>IF($R141="","",MCAin!$X157*$R141)</f>
        <v/>
      </c>
      <c r="BK141" s="347" t="str">
        <f>IF($S141="","",MCAin!$X157*$S141)</f>
        <v/>
      </c>
      <c r="BL141" s="463" t="str">
        <f>IF($N141="","",MCAin!$Y157*$N141)</f>
        <v/>
      </c>
      <c r="BM141" s="345" t="str">
        <f>IF($O141="","",MCAin!$Y157*$O141)</f>
        <v/>
      </c>
      <c r="BN141" s="345" t="str">
        <f>IF($P141="","",MCAin!$Y157*$P141)</f>
        <v/>
      </c>
      <c r="BO141" s="345" t="str">
        <f>IF($Q141="","",MCAin!$Y157*$Q141)</f>
        <v/>
      </c>
      <c r="BP141" s="345" t="str">
        <f>IF($R141="","",MCAin!$Y157*$R141)</f>
        <v/>
      </c>
      <c r="BQ141" s="347" t="str">
        <f>IF($S141="","",MCAin!$Y157*$S141)</f>
        <v/>
      </c>
      <c r="BR141" s="315"/>
      <c r="BS141" s="315"/>
      <c r="BT141" s="315"/>
      <c r="BU141" s="315"/>
      <c r="BV141" s="315"/>
      <c r="BW141" s="315"/>
      <c r="BX141" s="315"/>
      <c r="BY141" s="315"/>
      <c r="BZ141" s="315"/>
    </row>
    <row r="142" spans="1:78" ht="15" customHeight="1">
      <c r="A142" s="314"/>
      <c r="B142" s="110" t="str">
        <f>PTAout!D178</f>
        <v>Social interaction</v>
      </c>
      <c r="C142" s="233"/>
      <c r="D142" s="331" t="str">
        <f>PTAout!H178</f>
        <v/>
      </c>
      <c r="E142" s="331" t="str">
        <f>PTAout!L178</f>
        <v/>
      </c>
      <c r="F142" s="331" t="str">
        <f>PTAout!Q178</f>
        <v/>
      </c>
      <c r="G142" s="331" t="str">
        <f>PTAout!V178</f>
        <v/>
      </c>
      <c r="H142" s="331" t="str">
        <f>PTAout!AA178</f>
        <v/>
      </c>
      <c r="I142" s="331" t="str">
        <f>PTAout!AF178</f>
        <v/>
      </c>
      <c r="J142" s="488" t="str">
        <f>IF(MCAin!O158="","",MCAin!O158)</f>
        <v/>
      </c>
      <c r="K142" s="488" t="str">
        <f>IF(MCAin!P158="","",MCAin!P158)</f>
        <v/>
      </c>
      <c r="L142" s="314"/>
      <c r="M142" s="343"/>
      <c r="N142" s="343" t="str">
        <f t="shared" si="21"/>
        <v/>
      </c>
      <c r="O142" s="343" t="str">
        <f t="shared" si="21"/>
        <v/>
      </c>
      <c r="P142" s="343" t="str">
        <f t="shared" si="21"/>
        <v/>
      </c>
      <c r="Q142" s="343" t="str">
        <f t="shared" si="21"/>
        <v/>
      </c>
      <c r="R142" s="343" t="str">
        <f t="shared" si="21"/>
        <v/>
      </c>
      <c r="S142" s="343" t="str">
        <f t="shared" si="21"/>
        <v/>
      </c>
      <c r="T142" s="343"/>
      <c r="U142" s="344"/>
      <c r="V142" s="463" t="str">
        <f>IF($N142="","",MCAin!$R158*$N142)</f>
        <v/>
      </c>
      <c r="W142" s="345" t="str">
        <f>IF($O142="","",MCAin!$R158*$O142)</f>
        <v/>
      </c>
      <c r="X142" s="345" t="str">
        <f>IF($P142="","",MCAin!$R158*$P142)</f>
        <v/>
      </c>
      <c r="Y142" s="345" t="str">
        <f>IF($Q142="","",MCAin!$R158*$Q142)</f>
        <v/>
      </c>
      <c r="Z142" s="345" t="str">
        <f>IF($R142="","",MCAin!$R158*$R142)</f>
        <v/>
      </c>
      <c r="AA142" s="347" t="str">
        <f>IF($S142="","",MCAin!$R158*$S142)</f>
        <v/>
      </c>
      <c r="AB142" s="463" t="str">
        <f>IF($N142="","",MCAin!$S158*$N142)</f>
        <v/>
      </c>
      <c r="AC142" s="345" t="str">
        <f>IF($O142="","",MCAin!$S158*$O142)</f>
        <v/>
      </c>
      <c r="AD142" s="345" t="str">
        <f>IF($P142="","",MCAin!$S158*$P142)</f>
        <v/>
      </c>
      <c r="AE142" s="345" t="str">
        <f>IF($Q142="","",MCAin!$R158*$Q142)</f>
        <v/>
      </c>
      <c r="AF142" s="345" t="str">
        <f>IF($R142="","",MCAin!$R158*$R142)</f>
        <v/>
      </c>
      <c r="AG142" s="347" t="str">
        <f>IF($S142="","",MCAin!$S158*$S142)</f>
        <v/>
      </c>
      <c r="AH142" s="463" t="str">
        <f>IF($N142="","",MCAin!$T158*$N142)</f>
        <v/>
      </c>
      <c r="AI142" s="345" t="str">
        <f>IF($O142="","",MCAin!$T158*$O142)</f>
        <v/>
      </c>
      <c r="AJ142" s="345" t="str">
        <f>IF($P142="","",MCAin!$T158*$P142)</f>
        <v/>
      </c>
      <c r="AK142" s="345" t="str">
        <f>IF($Q142="","",MCAin!$T158*$Q142)</f>
        <v/>
      </c>
      <c r="AL142" s="345" t="str">
        <f>IF($R142="","",MCAin!$R158*$R142)</f>
        <v/>
      </c>
      <c r="AM142" s="347" t="str">
        <f>IF($S142="","",MCAin!$S158*$S142)</f>
        <v/>
      </c>
      <c r="AN142" s="463" t="str">
        <f>IF($N142="","",MCAin!$U158*$N142)</f>
        <v/>
      </c>
      <c r="AO142" s="345" t="str">
        <f>IF($O142="","",MCAin!$U158*$O142)</f>
        <v/>
      </c>
      <c r="AP142" s="345" t="str">
        <f>IF($P142="","",MCAin!$U158*$P142)</f>
        <v/>
      </c>
      <c r="AQ142" s="345" t="str">
        <f>IF($Q142="","",MCAin!$U158*$Q142)</f>
        <v/>
      </c>
      <c r="AR142" s="345" t="str">
        <f>IF($R142="","",MCAin!$U158*$R142)</f>
        <v/>
      </c>
      <c r="AS142" s="347" t="str">
        <f>IF($S142="","",MCAin!$U158*$S142)</f>
        <v/>
      </c>
      <c r="AT142" s="463" t="str">
        <f>IF($N142="","",MCAin!$V158*$N142)</f>
        <v/>
      </c>
      <c r="AU142" s="345" t="str">
        <f>IF($O142="","",MCAin!$V158*$O142)</f>
        <v/>
      </c>
      <c r="AV142" s="345" t="str">
        <f>IF($P142="","",MCAin!$V158*$P142)</f>
        <v/>
      </c>
      <c r="AW142" s="345" t="str">
        <f>IF($Q142="","",MCAin!$V158*$Q142)</f>
        <v/>
      </c>
      <c r="AX142" s="345" t="str">
        <f>IF($R142="","",MCAin!$V158*$R142)</f>
        <v/>
      </c>
      <c r="AY142" s="347" t="str">
        <f>IF($S142="","",MCAin!$V158*$S142)</f>
        <v/>
      </c>
      <c r="AZ142" s="463" t="str">
        <f>IF($N142="","",MCAin!$W158*$N142)</f>
        <v/>
      </c>
      <c r="BA142" s="345" t="str">
        <f>IF($O142="","",MCAin!$W158*$O142)</f>
        <v/>
      </c>
      <c r="BB142" s="345" t="str">
        <f>IF($P142="","",MCAin!$W158*$P142)</f>
        <v/>
      </c>
      <c r="BC142" s="345" t="str">
        <f>IF($Q142="","",MCAin!$W158*$Q142)</f>
        <v/>
      </c>
      <c r="BD142" s="345" t="str">
        <f>IF($R142="","",MCAin!$W158*$R142)</f>
        <v/>
      </c>
      <c r="BE142" s="347" t="str">
        <f>IF($S142="","",MCAin!$W158*$S142)</f>
        <v/>
      </c>
      <c r="BF142" s="463" t="str">
        <f>IF($N142="","",MCAin!$X158*$N142)</f>
        <v/>
      </c>
      <c r="BG142" s="345" t="str">
        <f>IF($O142="","",MCAin!$X158*$O142)</f>
        <v/>
      </c>
      <c r="BH142" s="345" t="str">
        <f>IF($P142="","",MCAin!$X158*$P142)</f>
        <v/>
      </c>
      <c r="BI142" s="345" t="str">
        <f>IF($Q142="","",MCAin!$X158*$Q142)</f>
        <v/>
      </c>
      <c r="BJ142" s="345" t="str">
        <f>IF($R142="","",MCAin!$X158*$R142)</f>
        <v/>
      </c>
      <c r="BK142" s="347" t="str">
        <f>IF($S142="","",MCAin!$X158*$S142)</f>
        <v/>
      </c>
      <c r="BL142" s="463" t="str">
        <f>IF($N142="","",MCAin!$Y158*$N142)</f>
        <v/>
      </c>
      <c r="BM142" s="345" t="str">
        <f>IF($O142="","",MCAin!$Y158*$O142)</f>
        <v/>
      </c>
      <c r="BN142" s="345" t="str">
        <f>IF($P142="","",MCAin!$Y158*$P142)</f>
        <v/>
      </c>
      <c r="BO142" s="345" t="str">
        <f>IF($Q142="","",MCAin!$Y158*$Q142)</f>
        <v/>
      </c>
      <c r="BP142" s="345" t="str">
        <f>IF($R142="","",MCAin!$Y158*$R142)</f>
        <v/>
      </c>
      <c r="BQ142" s="347" t="str">
        <f>IF($S142="","",MCAin!$Y158*$S142)</f>
        <v/>
      </c>
      <c r="BR142" s="315"/>
      <c r="BS142" s="315"/>
      <c r="BT142" s="315"/>
      <c r="BU142" s="315"/>
      <c r="BV142" s="315"/>
      <c r="BW142" s="315"/>
      <c r="BX142" s="315"/>
      <c r="BY142" s="315"/>
      <c r="BZ142" s="315"/>
    </row>
    <row r="143" spans="1:78" ht="15" customHeight="1">
      <c r="A143" s="314"/>
      <c r="B143" s="110" t="str">
        <f>PTAout!D179</f>
        <v>Inclusion (pedestrians with disabilities)</v>
      </c>
      <c r="C143" s="233"/>
      <c r="D143" s="234" t="str">
        <f>PTAout!H179</f>
        <v/>
      </c>
      <c r="E143" s="234" t="str">
        <f>PTAout!L179</f>
        <v/>
      </c>
      <c r="F143" s="234" t="str">
        <f>PTAout!Q179</f>
        <v/>
      </c>
      <c r="G143" s="234" t="str">
        <f>PTAout!V179</f>
        <v/>
      </c>
      <c r="H143" s="234" t="str">
        <f>PTAout!AA179</f>
        <v/>
      </c>
      <c r="I143" s="234" t="str">
        <f>PTAout!AF179</f>
        <v/>
      </c>
      <c r="J143" s="487" t="str">
        <f>IF(MCAin!O159="","",MCAin!O159)</f>
        <v/>
      </c>
      <c r="K143" s="487" t="str">
        <f>IF(MCAin!P159="","",MCAin!P159)</f>
        <v/>
      </c>
      <c r="L143" s="314"/>
      <c r="M143" s="343"/>
      <c r="N143" s="343" t="str">
        <f t="shared" si="21"/>
        <v/>
      </c>
      <c r="O143" s="343" t="str">
        <f t="shared" si="21"/>
        <v/>
      </c>
      <c r="P143" s="343" t="str">
        <f t="shared" si="21"/>
        <v/>
      </c>
      <c r="Q143" s="343" t="str">
        <f t="shared" si="21"/>
        <v/>
      </c>
      <c r="R143" s="343" t="str">
        <f t="shared" si="21"/>
        <v/>
      </c>
      <c r="S143" s="343" t="str">
        <f t="shared" si="21"/>
        <v/>
      </c>
      <c r="T143" s="343"/>
      <c r="U143" s="344"/>
      <c r="V143" s="463" t="str">
        <f>IF($N143="","",MCAin!$R159*$N143)</f>
        <v/>
      </c>
      <c r="W143" s="345" t="str">
        <f>IF($O143="","",MCAin!$R159*$O143)</f>
        <v/>
      </c>
      <c r="X143" s="345" t="str">
        <f>IF($P143="","",MCAin!$R159*$P143)</f>
        <v/>
      </c>
      <c r="Y143" s="345" t="str">
        <f>IF($Q143="","",MCAin!$R159*$Q143)</f>
        <v/>
      </c>
      <c r="Z143" s="345" t="str">
        <f>IF($R143="","",MCAin!$R159*$R143)</f>
        <v/>
      </c>
      <c r="AA143" s="347" t="str">
        <f>IF($S143="","",MCAin!$R159*$S143)</f>
        <v/>
      </c>
      <c r="AB143" s="463" t="str">
        <f>IF($N143="","",MCAin!$S159*$N143)</f>
        <v/>
      </c>
      <c r="AC143" s="345" t="str">
        <f>IF($O143="","",MCAin!$S159*$O143)</f>
        <v/>
      </c>
      <c r="AD143" s="345" t="str">
        <f>IF($P143="","",MCAin!$S159*$P143)</f>
        <v/>
      </c>
      <c r="AE143" s="345" t="str">
        <f>IF($Q143="","",MCAin!$R159*$Q143)</f>
        <v/>
      </c>
      <c r="AF143" s="345" t="str">
        <f>IF($R143="","",MCAin!$R159*$R143)</f>
        <v/>
      </c>
      <c r="AG143" s="347" t="str">
        <f>IF($S143="","",MCAin!$S159*$S143)</f>
        <v/>
      </c>
      <c r="AH143" s="463" t="str">
        <f>IF($N143="","",MCAin!$T159*$N143)</f>
        <v/>
      </c>
      <c r="AI143" s="345" t="str">
        <f>IF($O143="","",MCAin!$T159*$O143)</f>
        <v/>
      </c>
      <c r="AJ143" s="345" t="str">
        <f>IF($P143="","",MCAin!$T159*$P143)</f>
        <v/>
      </c>
      <c r="AK143" s="345" t="str">
        <f>IF($Q143="","",MCAin!$T159*$Q143)</f>
        <v/>
      </c>
      <c r="AL143" s="345" t="str">
        <f>IF($R143="","",MCAin!$R159*$R143)</f>
        <v/>
      </c>
      <c r="AM143" s="347" t="str">
        <f>IF($S143="","",MCAin!$S159*$S143)</f>
        <v/>
      </c>
      <c r="AN143" s="463" t="str">
        <f>IF($N143="","",MCAin!$U159*$N143)</f>
        <v/>
      </c>
      <c r="AO143" s="345" t="str">
        <f>IF($O143="","",MCAin!$U159*$O143)</f>
        <v/>
      </c>
      <c r="AP143" s="345" t="str">
        <f>IF($P143="","",MCAin!$U159*$P143)</f>
        <v/>
      </c>
      <c r="AQ143" s="345" t="str">
        <f>IF($Q143="","",MCAin!$U159*$Q143)</f>
        <v/>
      </c>
      <c r="AR143" s="345" t="str">
        <f>IF($R143="","",MCAin!$U159*$R143)</f>
        <v/>
      </c>
      <c r="AS143" s="347" t="str">
        <f>IF($S143="","",MCAin!$U159*$S143)</f>
        <v/>
      </c>
      <c r="AT143" s="463" t="str">
        <f>IF($N143="","",MCAin!$V159*$N143)</f>
        <v/>
      </c>
      <c r="AU143" s="345" t="str">
        <f>IF($O143="","",MCAin!$V159*$O143)</f>
        <v/>
      </c>
      <c r="AV143" s="345" t="str">
        <f>IF($P143="","",MCAin!$V159*$P143)</f>
        <v/>
      </c>
      <c r="AW143" s="345" t="str">
        <f>IF($Q143="","",MCAin!$V159*$Q143)</f>
        <v/>
      </c>
      <c r="AX143" s="345" t="str">
        <f>IF($R143="","",MCAin!$V159*$R143)</f>
        <v/>
      </c>
      <c r="AY143" s="347" t="str">
        <f>IF($S143="","",MCAin!$V159*$S143)</f>
        <v/>
      </c>
      <c r="AZ143" s="463" t="str">
        <f>IF($N143="","",MCAin!$W159*$N143)</f>
        <v/>
      </c>
      <c r="BA143" s="345" t="str">
        <f>IF($O143="","",MCAin!$W159*$O143)</f>
        <v/>
      </c>
      <c r="BB143" s="345" t="str">
        <f>IF($P143="","",MCAin!$W159*$P143)</f>
        <v/>
      </c>
      <c r="BC143" s="345" t="str">
        <f>IF($Q143="","",MCAin!$W159*$Q143)</f>
        <v/>
      </c>
      <c r="BD143" s="345" t="str">
        <f>IF($R143="","",MCAin!$W159*$R143)</f>
        <v/>
      </c>
      <c r="BE143" s="347" t="str">
        <f>IF($S143="","",MCAin!$W159*$S143)</f>
        <v/>
      </c>
      <c r="BF143" s="463" t="str">
        <f>IF($N143="","",MCAin!$X159*$N143)</f>
        <v/>
      </c>
      <c r="BG143" s="345" t="str">
        <f>IF($O143="","",MCAin!$X159*$O143)</f>
        <v/>
      </c>
      <c r="BH143" s="345" t="str">
        <f>IF($P143="","",MCAin!$X159*$P143)</f>
        <v/>
      </c>
      <c r="BI143" s="345" t="str">
        <f>IF($Q143="","",MCAin!$X159*$Q143)</f>
        <v/>
      </c>
      <c r="BJ143" s="345" t="str">
        <f>IF($R143="","",MCAin!$X159*$R143)</f>
        <v/>
      </c>
      <c r="BK143" s="347" t="str">
        <f>IF($S143="","",MCAin!$X159*$S143)</f>
        <v/>
      </c>
      <c r="BL143" s="463" t="str">
        <f>IF($N143="","",MCAin!$Y159*$N143)</f>
        <v/>
      </c>
      <c r="BM143" s="345" t="str">
        <f>IF($O143="","",MCAin!$Y159*$O143)</f>
        <v/>
      </c>
      <c r="BN143" s="345" t="str">
        <f>IF($P143="","",MCAin!$Y159*$P143)</f>
        <v/>
      </c>
      <c r="BO143" s="345" t="str">
        <f>IF($Q143="","",MCAin!$Y159*$Q143)</f>
        <v/>
      </c>
      <c r="BP143" s="345" t="str">
        <f>IF($R143="","",MCAin!$Y159*$R143)</f>
        <v/>
      </c>
      <c r="BQ143" s="347" t="str">
        <f>IF($S143="","",MCAin!$Y159*$S143)</f>
        <v/>
      </c>
      <c r="BR143" s="315"/>
      <c r="BS143" s="315"/>
      <c r="BT143" s="315"/>
      <c r="BU143" s="315"/>
      <c r="BV143" s="315"/>
      <c r="BW143" s="315"/>
      <c r="BX143" s="315"/>
      <c r="BY143" s="315"/>
      <c r="BZ143" s="315"/>
    </row>
    <row r="144" spans="1:78" ht="15" customHeight="1">
      <c r="A144" s="320"/>
      <c r="B144" s="118" t="str">
        <f>PTAout!D180</f>
        <v>Wellbeing</v>
      </c>
      <c r="C144" s="324"/>
      <c r="D144" s="323" t="str">
        <f>PTAout!H180</f>
        <v/>
      </c>
      <c r="E144" s="323" t="str">
        <f>PTAout!L180</f>
        <v/>
      </c>
      <c r="F144" s="323" t="str">
        <f>PTAout!Q180</f>
        <v/>
      </c>
      <c r="G144" s="323" t="str">
        <f>PTAout!V180</f>
        <v/>
      </c>
      <c r="H144" s="323" t="str">
        <f>PTAout!AA180</f>
        <v/>
      </c>
      <c r="I144" s="323" t="str">
        <f>PTAout!AF180</f>
        <v/>
      </c>
      <c r="J144" s="489" t="str">
        <f>IF(MCAin!O160="","",MCAin!O160)</f>
        <v/>
      </c>
      <c r="K144" s="489" t="str">
        <f>IF(MCAin!P160="","",MCAin!P160)</f>
        <v/>
      </c>
      <c r="L144" s="314"/>
      <c r="M144" s="343"/>
      <c r="N144" s="492" t="str">
        <f t="shared" si="21"/>
        <v/>
      </c>
      <c r="O144" s="492" t="str">
        <f t="shared" si="21"/>
        <v/>
      </c>
      <c r="P144" s="492" t="str">
        <f t="shared" si="21"/>
        <v/>
      </c>
      <c r="Q144" s="492" t="str">
        <f t="shared" si="21"/>
        <v/>
      </c>
      <c r="R144" s="492" t="str">
        <f t="shared" si="21"/>
        <v/>
      </c>
      <c r="S144" s="492" t="str">
        <f t="shared" si="21"/>
        <v/>
      </c>
      <c r="T144" s="343"/>
      <c r="U144" s="344"/>
      <c r="V144" s="495" t="str">
        <f>IF($N144="","",MCAin!$R160*$N144)</f>
        <v/>
      </c>
      <c r="W144" s="496" t="str">
        <f>IF($O144="","",MCAin!$R160*$O144)</f>
        <v/>
      </c>
      <c r="X144" s="496" t="str">
        <f>IF($P144="","",MCAin!$R160*$P144)</f>
        <v/>
      </c>
      <c r="Y144" s="496" t="str">
        <f>IF($Q144="","",MCAin!$R160*$Q144)</f>
        <v/>
      </c>
      <c r="Z144" s="496" t="str">
        <f>IF($R144="","",MCAin!$R160*$R144)</f>
        <v/>
      </c>
      <c r="AA144" s="497" t="str">
        <f>IF($S144="","",MCAin!$R160*$S144)</f>
        <v/>
      </c>
      <c r="AB144" s="495" t="str">
        <f>IF($N144="","",MCAin!$S160*$N144)</f>
        <v/>
      </c>
      <c r="AC144" s="496" t="str">
        <f>IF($O144="","",MCAin!$S160*$O144)</f>
        <v/>
      </c>
      <c r="AD144" s="496" t="str">
        <f>IF($P144="","",MCAin!$S160*$P144)</f>
        <v/>
      </c>
      <c r="AE144" s="496" t="str">
        <f>IF($Q144="","",MCAin!$R160*$Q144)</f>
        <v/>
      </c>
      <c r="AF144" s="496" t="str">
        <f>IF($R144="","",MCAin!$R160*$R144)</f>
        <v/>
      </c>
      <c r="AG144" s="497" t="str">
        <f>IF($S144="","",MCAin!$S160*$S144)</f>
        <v/>
      </c>
      <c r="AH144" s="495" t="str">
        <f>IF($N144="","",MCAin!$T160*$N144)</f>
        <v/>
      </c>
      <c r="AI144" s="496" t="str">
        <f>IF($O144="","",MCAin!$T160*$O144)</f>
        <v/>
      </c>
      <c r="AJ144" s="496" t="str">
        <f>IF($P144="","",MCAin!$T160*$P144)</f>
        <v/>
      </c>
      <c r="AK144" s="496" t="str">
        <f>IF($Q144="","",MCAin!$T160*$Q144)</f>
        <v/>
      </c>
      <c r="AL144" s="496" t="str">
        <f>IF($R144="","",MCAin!$R160*$R144)</f>
        <v/>
      </c>
      <c r="AM144" s="497" t="str">
        <f>IF($S144="","",MCAin!$S160*$S144)</f>
        <v/>
      </c>
      <c r="AN144" s="495" t="str">
        <f>IF($N144="","",MCAin!$U160*$N144)</f>
        <v/>
      </c>
      <c r="AO144" s="496" t="str">
        <f>IF($O144="","",MCAin!$U160*$O144)</f>
        <v/>
      </c>
      <c r="AP144" s="496" t="str">
        <f>IF($P144="","",MCAin!$U160*$P144)</f>
        <v/>
      </c>
      <c r="AQ144" s="496" t="str">
        <f>IF($Q144="","",MCAin!$U160*$Q144)</f>
        <v/>
      </c>
      <c r="AR144" s="496" t="str">
        <f>IF($R144="","",MCAin!$U160*$R144)</f>
        <v/>
      </c>
      <c r="AS144" s="497" t="str">
        <f>IF($S144="","",MCAin!$U160*$S144)</f>
        <v/>
      </c>
      <c r="AT144" s="495" t="str">
        <f>IF($N144="","",MCAin!$V160*$N144)</f>
        <v/>
      </c>
      <c r="AU144" s="496" t="str">
        <f>IF($O144="","",MCAin!$V160*$O144)</f>
        <v/>
      </c>
      <c r="AV144" s="496" t="str">
        <f>IF($P144="","",MCAin!$V160*$P144)</f>
        <v/>
      </c>
      <c r="AW144" s="496" t="str">
        <f>IF($Q144="","",MCAin!$V160*$Q144)</f>
        <v/>
      </c>
      <c r="AX144" s="496" t="str">
        <f>IF($R144="","",MCAin!$V160*$R144)</f>
        <v/>
      </c>
      <c r="AY144" s="497" t="str">
        <f>IF($S144="","",MCAin!$V160*$S144)</f>
        <v/>
      </c>
      <c r="AZ144" s="495" t="str">
        <f>IF($N144="","",MCAin!$W160*$N144)</f>
        <v/>
      </c>
      <c r="BA144" s="496" t="str">
        <f>IF($O144="","",MCAin!$W160*$O144)</f>
        <v/>
      </c>
      <c r="BB144" s="496" t="str">
        <f>IF($P144="","",MCAin!$W160*$P144)</f>
        <v/>
      </c>
      <c r="BC144" s="496" t="str">
        <f>IF($Q144="","",MCAin!$W160*$Q144)</f>
        <v/>
      </c>
      <c r="BD144" s="496" t="str">
        <f>IF($R144="","",MCAin!$W160*$R144)</f>
        <v/>
      </c>
      <c r="BE144" s="497" t="str">
        <f>IF($S144="","",MCAin!$W160*$S144)</f>
        <v/>
      </c>
      <c r="BF144" s="495" t="str">
        <f>IF($N144="","",MCAin!$X160*$N144)</f>
        <v/>
      </c>
      <c r="BG144" s="496" t="str">
        <f>IF($O144="","",MCAin!$X160*$O144)</f>
        <v/>
      </c>
      <c r="BH144" s="496" t="str">
        <f>IF($P144="","",MCAin!$X160*$P144)</f>
        <v/>
      </c>
      <c r="BI144" s="496" t="str">
        <f>IF($Q144="","",MCAin!$X160*$Q144)</f>
        <v/>
      </c>
      <c r="BJ144" s="496" t="str">
        <f>IF($R144="","",MCAin!$X160*$R144)</f>
        <v/>
      </c>
      <c r="BK144" s="497" t="str">
        <f>IF($S144="","",MCAin!$X160*$S144)</f>
        <v/>
      </c>
      <c r="BL144" s="495" t="str">
        <f>IF($N144="","",MCAin!$Y160*$N144)</f>
        <v/>
      </c>
      <c r="BM144" s="496" t="str">
        <f>IF($O144="","",MCAin!$Y160*$O144)</f>
        <v/>
      </c>
      <c r="BN144" s="496" t="str">
        <f>IF($P144="","",MCAin!$Y160*$P144)</f>
        <v/>
      </c>
      <c r="BO144" s="496" t="str">
        <f>IF($Q144="","",MCAin!$Y160*$Q144)</f>
        <v/>
      </c>
      <c r="BP144" s="496" t="str">
        <f>IF($R144="","",MCAin!$Y160*$R144)</f>
        <v/>
      </c>
      <c r="BQ144" s="497" t="str">
        <f>IF($S144="","",MCAin!$Y160*$S144)</f>
        <v/>
      </c>
      <c r="BR144" s="315"/>
      <c r="BS144" s="315"/>
      <c r="BT144" s="315"/>
      <c r="BU144" s="315"/>
      <c r="BV144" s="315"/>
      <c r="BW144" s="315"/>
      <c r="BX144" s="315"/>
      <c r="BY144" s="315"/>
      <c r="BZ144" s="315"/>
    </row>
    <row r="145" spans="1:78" ht="15" customHeight="1">
      <c r="A145" s="521" t="str">
        <f>PTAout!C181</f>
        <v>Environmental</v>
      </c>
      <c r="B145" s="511"/>
      <c r="C145" s="522"/>
      <c r="D145" s="523"/>
      <c r="E145" s="523"/>
      <c r="F145" s="523"/>
      <c r="G145" s="523"/>
      <c r="H145" s="523"/>
      <c r="I145" s="523"/>
      <c r="J145" s="524"/>
      <c r="K145" s="524"/>
      <c r="L145" s="503"/>
      <c r="M145" s="525"/>
      <c r="N145" s="525"/>
      <c r="O145" s="525"/>
      <c r="P145" s="525"/>
      <c r="Q145" s="525"/>
      <c r="R145" s="525"/>
      <c r="S145" s="525"/>
      <c r="T145" s="525"/>
      <c r="U145" s="504"/>
      <c r="V145" s="507"/>
      <c r="W145" s="508"/>
      <c r="X145" s="508"/>
      <c r="Y145" s="508"/>
      <c r="Z145" s="508"/>
      <c r="AA145" s="509"/>
      <c r="AB145" s="507"/>
      <c r="AC145" s="508"/>
      <c r="AD145" s="508"/>
      <c r="AE145" s="508"/>
      <c r="AF145" s="508"/>
      <c r="AG145" s="509"/>
      <c r="AH145" s="507"/>
      <c r="AI145" s="508"/>
      <c r="AJ145" s="508"/>
      <c r="AK145" s="508"/>
      <c r="AL145" s="508"/>
      <c r="AM145" s="509"/>
      <c r="AN145" s="507"/>
      <c r="AO145" s="508"/>
      <c r="AP145" s="508"/>
      <c r="AQ145" s="508"/>
      <c r="AR145" s="508"/>
      <c r="AS145" s="509"/>
      <c r="AT145" s="507"/>
      <c r="AU145" s="508"/>
      <c r="AV145" s="508"/>
      <c r="AW145" s="508"/>
      <c r="AX145" s="508"/>
      <c r="AY145" s="509"/>
      <c r="AZ145" s="507"/>
      <c r="BA145" s="508"/>
      <c r="BB145" s="508"/>
      <c r="BC145" s="508"/>
      <c r="BD145" s="508"/>
      <c r="BE145" s="509"/>
      <c r="BF145" s="507"/>
      <c r="BG145" s="508"/>
      <c r="BH145" s="508"/>
      <c r="BI145" s="508"/>
      <c r="BJ145" s="508"/>
      <c r="BK145" s="509"/>
      <c r="BL145" s="507"/>
      <c r="BM145" s="508"/>
      <c r="BN145" s="508"/>
      <c r="BO145" s="508"/>
      <c r="BP145" s="508"/>
      <c r="BQ145" s="509"/>
      <c r="BR145" s="315"/>
      <c r="BS145" s="315"/>
      <c r="BT145" s="315"/>
      <c r="BU145" s="315"/>
      <c r="BV145" s="315"/>
      <c r="BW145" s="315"/>
      <c r="BX145" s="315"/>
      <c r="BY145" s="315"/>
      <c r="BZ145" s="315"/>
    </row>
    <row r="146" spans="1:78" ht="15" customHeight="1">
      <c r="A146" s="332"/>
      <c r="B146" s="110" t="str">
        <f>PTAout!D182</f>
        <v>Green space</v>
      </c>
      <c r="C146" s="233"/>
      <c r="D146" s="234" t="str">
        <f>PTAout!H182</f>
        <v/>
      </c>
      <c r="E146" s="234" t="str">
        <f>PTAout!L182</f>
        <v/>
      </c>
      <c r="F146" s="234" t="str">
        <f>PTAout!Q182</f>
        <v/>
      </c>
      <c r="G146" s="234" t="str">
        <f>PTAout!V182</f>
        <v/>
      </c>
      <c r="H146" s="234" t="str">
        <f>PTAout!AA182</f>
        <v/>
      </c>
      <c r="I146" s="234" t="str">
        <f>PTAout!AF182</f>
        <v/>
      </c>
      <c r="J146" s="484" t="str">
        <f>IF(MCAin!O162="","",MCAin!O162)</f>
        <v/>
      </c>
      <c r="K146" s="484" t="str">
        <f>IF(MCAin!P162="","",MCAin!P162)</f>
        <v/>
      </c>
      <c r="L146" s="314"/>
      <c r="M146" s="343"/>
      <c r="N146" s="343" t="str">
        <f t="shared" ref="N146:S154" si="40">IF(OR($M146&lt;&gt;1,D146=""),"",(D146-$J146)/($K146-$J146))</f>
        <v/>
      </c>
      <c r="O146" s="343" t="str">
        <f t="shared" si="40"/>
        <v/>
      </c>
      <c r="P146" s="343" t="str">
        <f t="shared" si="40"/>
        <v/>
      </c>
      <c r="Q146" s="343" t="str">
        <f t="shared" si="40"/>
        <v/>
      </c>
      <c r="R146" s="343" t="str">
        <f t="shared" si="40"/>
        <v/>
      </c>
      <c r="S146" s="343" t="str">
        <f t="shared" si="40"/>
        <v/>
      </c>
      <c r="T146" s="343"/>
      <c r="U146" s="344"/>
      <c r="V146" s="463" t="str">
        <f>IF($N146="","",MCAin!$R162*$N146)</f>
        <v/>
      </c>
      <c r="W146" s="345" t="str">
        <f>IF($O146="","",MCAin!$R162*$O146)</f>
        <v/>
      </c>
      <c r="X146" s="345" t="str">
        <f>IF($P146="","",MCAin!$R162*$P146)</f>
        <v/>
      </c>
      <c r="Y146" s="345" t="str">
        <f>IF($Q146="","",MCAin!$R162*$Q146)</f>
        <v/>
      </c>
      <c r="Z146" s="345" t="str">
        <f>IF($R146="","",MCAin!$R162*$R146)</f>
        <v/>
      </c>
      <c r="AA146" s="347" t="str">
        <f>IF($S146="","",MCAin!$R162*$S146)</f>
        <v/>
      </c>
      <c r="AB146" s="463" t="str">
        <f>IF($N146="","",MCAin!$S162*$N146)</f>
        <v/>
      </c>
      <c r="AC146" s="345" t="str">
        <f>IF($O146="","",MCAin!$S162*$O146)</f>
        <v/>
      </c>
      <c r="AD146" s="345" t="str">
        <f>IF($P146="","",MCAin!$S162*$P146)</f>
        <v/>
      </c>
      <c r="AE146" s="345" t="str">
        <f>IF($Q146="","",MCAin!$R162*$Q146)</f>
        <v/>
      </c>
      <c r="AF146" s="345" t="str">
        <f>IF($R146="","",MCAin!$R162*$R146)</f>
        <v/>
      </c>
      <c r="AG146" s="347" t="str">
        <f>IF($S146="","",MCAin!$S162*$S146)</f>
        <v/>
      </c>
      <c r="AH146" s="463" t="str">
        <f>IF($N146="","",MCAin!$T162*$N146)</f>
        <v/>
      </c>
      <c r="AI146" s="345" t="str">
        <f>IF($O146="","",MCAin!$T162*$O146)</f>
        <v/>
      </c>
      <c r="AJ146" s="345" t="str">
        <f>IF($P146="","",MCAin!$T162*$P146)</f>
        <v/>
      </c>
      <c r="AK146" s="345" t="str">
        <f>IF($Q146="","",MCAin!$T162*$Q146)</f>
        <v/>
      </c>
      <c r="AL146" s="345" t="str">
        <f>IF($R146="","",MCAin!$R162*$R146)</f>
        <v/>
      </c>
      <c r="AM146" s="347" t="str">
        <f>IF($S146="","",MCAin!$S162*$S146)</f>
        <v/>
      </c>
      <c r="AN146" s="463" t="str">
        <f>IF($N146="","",MCAin!$U162*$N146)</f>
        <v/>
      </c>
      <c r="AO146" s="345" t="str">
        <f>IF($O146="","",MCAin!$U162*$O146)</f>
        <v/>
      </c>
      <c r="AP146" s="345" t="str">
        <f>IF($P146="","",MCAin!$U162*$P146)</f>
        <v/>
      </c>
      <c r="AQ146" s="345" t="str">
        <f>IF($Q146="","",MCAin!$U162*$Q146)</f>
        <v/>
      </c>
      <c r="AR146" s="345" t="str">
        <f>IF($R146="","",MCAin!$U162*$R146)</f>
        <v/>
      </c>
      <c r="AS146" s="347" t="str">
        <f>IF($S146="","",MCAin!$U162*$S146)</f>
        <v/>
      </c>
      <c r="AT146" s="463" t="str">
        <f>IF($N146="","",MCAin!$V162*$N146)</f>
        <v/>
      </c>
      <c r="AU146" s="345" t="str">
        <f>IF($O146="","",MCAin!$V162*$O146)</f>
        <v/>
      </c>
      <c r="AV146" s="345" t="str">
        <f>IF($P146="","",MCAin!$V162*$P146)</f>
        <v/>
      </c>
      <c r="AW146" s="345" t="str">
        <f>IF($Q146="","",MCAin!$V162*$Q146)</f>
        <v/>
      </c>
      <c r="AX146" s="345" t="str">
        <f>IF($R146="","",MCAin!$V162*$R146)</f>
        <v/>
      </c>
      <c r="AY146" s="347" t="str">
        <f>IF($S146="","",MCAin!$V162*$S146)</f>
        <v/>
      </c>
      <c r="AZ146" s="463" t="str">
        <f>IF($N146="","",MCAin!$W162*$N146)</f>
        <v/>
      </c>
      <c r="BA146" s="345" t="str">
        <f>IF($O146="","",MCAin!$W162*$O146)</f>
        <v/>
      </c>
      <c r="BB146" s="345" t="str">
        <f>IF($P146="","",MCAin!$W162*$P146)</f>
        <v/>
      </c>
      <c r="BC146" s="345" t="str">
        <f>IF($Q146="","",MCAin!$W162*$Q146)</f>
        <v/>
      </c>
      <c r="BD146" s="345" t="str">
        <f>IF($R146="","",MCAin!$W162*$R146)</f>
        <v/>
      </c>
      <c r="BE146" s="347" t="str">
        <f>IF($S146="","",MCAin!$W162*$S146)</f>
        <v/>
      </c>
      <c r="BF146" s="463" t="str">
        <f>IF($N146="","",MCAin!$X162*$N146)</f>
        <v/>
      </c>
      <c r="BG146" s="345" t="str">
        <f>IF($O146="","",MCAin!$X162*$O146)</f>
        <v/>
      </c>
      <c r="BH146" s="345" t="str">
        <f>IF($P146="","",MCAin!$X162*$P146)</f>
        <v/>
      </c>
      <c r="BI146" s="345" t="str">
        <f>IF($Q146="","",MCAin!$X162*$Q146)</f>
        <v/>
      </c>
      <c r="BJ146" s="345" t="str">
        <f>IF($R146="","",MCAin!$X162*$R146)</f>
        <v/>
      </c>
      <c r="BK146" s="347" t="str">
        <f>IF($S146="","",MCAin!$X162*$S146)</f>
        <v/>
      </c>
      <c r="BL146" s="463" t="str">
        <f>IF($N146="","",MCAin!$Y162*$N146)</f>
        <v/>
      </c>
      <c r="BM146" s="345" t="str">
        <f>IF($O146="","",MCAin!$Y162*$O146)</f>
        <v/>
      </c>
      <c r="BN146" s="345" t="str">
        <f>IF($P146="","",MCAin!$Y162*$P146)</f>
        <v/>
      </c>
      <c r="BO146" s="345" t="str">
        <f>IF($Q146="","",MCAin!$Y162*$Q146)</f>
        <v/>
      </c>
      <c r="BP146" s="345" t="str">
        <f>IF($R146="","",MCAin!$Y162*$R146)</f>
        <v/>
      </c>
      <c r="BQ146" s="347" t="str">
        <f>IF($S146="","",MCAin!$Y162*$S146)</f>
        <v/>
      </c>
      <c r="BR146" s="315"/>
      <c r="BS146" s="315"/>
      <c r="BT146" s="315"/>
      <c r="BU146" s="315"/>
      <c r="BV146" s="315"/>
      <c r="BW146" s="315"/>
      <c r="BX146" s="315"/>
      <c r="BY146" s="315"/>
      <c r="BZ146" s="315"/>
    </row>
    <row r="147" spans="1:78" ht="15" customHeight="1">
      <c r="A147" s="332"/>
      <c r="B147" s="110" t="str">
        <f>PTAout!D183</f>
        <v>Air pollution (PM10)</v>
      </c>
      <c r="C147" s="233"/>
      <c r="D147" s="234" t="str">
        <f>PTAout!H183</f>
        <v/>
      </c>
      <c r="E147" s="234" t="str">
        <f>PTAout!L183</f>
        <v/>
      </c>
      <c r="F147" s="234" t="str">
        <f>PTAout!Q183</f>
        <v/>
      </c>
      <c r="G147" s="234" t="str">
        <f>PTAout!V183</f>
        <v/>
      </c>
      <c r="H147" s="234" t="str">
        <f>PTAout!AA183</f>
        <v/>
      </c>
      <c r="I147" s="234" t="str">
        <f>PTAout!AF183</f>
        <v/>
      </c>
      <c r="J147" s="487" t="str">
        <f>IF(MCAin!O163="","",MCAin!O163)</f>
        <v/>
      </c>
      <c r="K147" s="487" t="str">
        <f>IF(MCAin!P163="","",MCAin!P163)</f>
        <v/>
      </c>
      <c r="L147" s="314"/>
      <c r="M147" s="343"/>
      <c r="N147" s="343" t="str">
        <f t="shared" si="40"/>
        <v/>
      </c>
      <c r="O147" s="343" t="str">
        <f t="shared" si="40"/>
        <v/>
      </c>
      <c r="P147" s="343" t="str">
        <f t="shared" si="40"/>
        <v/>
      </c>
      <c r="Q147" s="343" t="str">
        <f t="shared" si="40"/>
        <v/>
      </c>
      <c r="R147" s="343" t="str">
        <f t="shared" si="40"/>
        <v/>
      </c>
      <c r="S147" s="343" t="str">
        <f t="shared" si="40"/>
        <v/>
      </c>
      <c r="T147" s="343"/>
      <c r="U147" s="344"/>
      <c r="V147" s="463" t="str">
        <f>IF($N147="","",MCAin!$R163*$N147)</f>
        <v/>
      </c>
      <c r="W147" s="345" t="str">
        <f>IF($O147="","",MCAin!$R163*$O147)</f>
        <v/>
      </c>
      <c r="X147" s="345" t="str">
        <f>IF($P147="","",MCAin!$R163*$P147)</f>
        <v/>
      </c>
      <c r="Y147" s="345" t="str">
        <f>IF($Q147="","",MCAin!$R163*$Q147)</f>
        <v/>
      </c>
      <c r="Z147" s="345" t="str">
        <f>IF($R147="","",MCAin!$R163*$R147)</f>
        <v/>
      </c>
      <c r="AA147" s="347" t="str">
        <f>IF($S147="","",MCAin!$R163*$S147)</f>
        <v/>
      </c>
      <c r="AB147" s="463" t="str">
        <f>IF($N147="","",MCAin!$S163*$N147)</f>
        <v/>
      </c>
      <c r="AC147" s="345" t="str">
        <f>IF($O147="","",MCAin!$S163*$O147)</f>
        <v/>
      </c>
      <c r="AD147" s="345" t="str">
        <f>IF($P147="","",MCAin!$S163*$P147)</f>
        <v/>
      </c>
      <c r="AE147" s="345" t="str">
        <f>IF($Q147="","",MCAin!$R163*$Q147)</f>
        <v/>
      </c>
      <c r="AF147" s="345" t="str">
        <f>IF($R147="","",MCAin!$R163*$R147)</f>
        <v/>
      </c>
      <c r="AG147" s="347" t="str">
        <f>IF($S147="","",MCAin!$S163*$S147)</f>
        <v/>
      </c>
      <c r="AH147" s="463" t="str">
        <f>IF($N147="","",MCAin!$T163*$N147)</f>
        <v/>
      </c>
      <c r="AI147" s="345" t="str">
        <f>IF($O147="","",MCAin!$T163*$O147)</f>
        <v/>
      </c>
      <c r="AJ147" s="345" t="str">
        <f>IF($P147="","",MCAin!$T163*$P147)</f>
        <v/>
      </c>
      <c r="AK147" s="345" t="str">
        <f>IF($Q147="","",MCAin!$T163*$Q147)</f>
        <v/>
      </c>
      <c r="AL147" s="345" t="str">
        <f>IF($R147="","",MCAin!$R163*$R147)</f>
        <v/>
      </c>
      <c r="AM147" s="347" t="str">
        <f>IF($S147="","",MCAin!$S163*$S147)</f>
        <v/>
      </c>
      <c r="AN147" s="463" t="str">
        <f>IF($N147="","",MCAin!$U163*$N147)</f>
        <v/>
      </c>
      <c r="AO147" s="345" t="str">
        <f>IF($O147="","",MCAin!$U163*$O147)</f>
        <v/>
      </c>
      <c r="AP147" s="345" t="str">
        <f>IF($P147="","",MCAin!$U163*$P147)</f>
        <v/>
      </c>
      <c r="AQ147" s="345" t="str">
        <f>IF($Q147="","",MCAin!$U163*$Q147)</f>
        <v/>
      </c>
      <c r="AR147" s="345" t="str">
        <f>IF($R147="","",MCAin!$U163*$R147)</f>
        <v/>
      </c>
      <c r="AS147" s="347" t="str">
        <f>IF($S147="","",MCAin!$U163*$S147)</f>
        <v/>
      </c>
      <c r="AT147" s="463" t="str">
        <f>IF($N147="","",MCAin!$V163*$N147)</f>
        <v/>
      </c>
      <c r="AU147" s="345" t="str">
        <f>IF($O147="","",MCAin!$V163*$O147)</f>
        <v/>
      </c>
      <c r="AV147" s="345" t="str">
        <f>IF($P147="","",MCAin!$V163*$P147)</f>
        <v/>
      </c>
      <c r="AW147" s="345" t="str">
        <f>IF($Q147="","",MCAin!$V163*$Q147)</f>
        <v/>
      </c>
      <c r="AX147" s="345" t="str">
        <f>IF($R147="","",MCAin!$V163*$R147)</f>
        <v/>
      </c>
      <c r="AY147" s="347" t="str">
        <f>IF($S147="","",MCAin!$V163*$S147)</f>
        <v/>
      </c>
      <c r="AZ147" s="463" t="str">
        <f>IF($N147="","",MCAin!$W163*$N147)</f>
        <v/>
      </c>
      <c r="BA147" s="345" t="str">
        <f>IF($O147="","",MCAin!$W163*$O147)</f>
        <v/>
      </c>
      <c r="BB147" s="345" t="str">
        <f>IF($P147="","",MCAin!$W163*$P147)</f>
        <v/>
      </c>
      <c r="BC147" s="345" t="str">
        <f>IF($Q147="","",MCAin!$W163*$Q147)</f>
        <v/>
      </c>
      <c r="BD147" s="345" t="str">
        <f>IF($R147="","",MCAin!$W163*$R147)</f>
        <v/>
      </c>
      <c r="BE147" s="347" t="str">
        <f>IF($S147="","",MCAin!$W163*$S147)</f>
        <v/>
      </c>
      <c r="BF147" s="463" t="str">
        <f>IF($N147="","",MCAin!$X163*$N147)</f>
        <v/>
      </c>
      <c r="BG147" s="345" t="str">
        <f>IF($O147="","",MCAin!$X163*$O147)</f>
        <v/>
      </c>
      <c r="BH147" s="345" t="str">
        <f>IF($P147="","",MCAin!$X163*$P147)</f>
        <v/>
      </c>
      <c r="BI147" s="345" t="str">
        <f>IF($Q147="","",MCAin!$X163*$Q147)</f>
        <v/>
      </c>
      <c r="BJ147" s="345" t="str">
        <f>IF($R147="","",MCAin!$X163*$R147)</f>
        <v/>
      </c>
      <c r="BK147" s="347" t="str">
        <f>IF($S147="","",MCAin!$X163*$S147)</f>
        <v/>
      </c>
      <c r="BL147" s="463" t="str">
        <f>IF($N147="","",MCAin!$Y163*$N147)</f>
        <v/>
      </c>
      <c r="BM147" s="345" t="str">
        <f>IF($O147="","",MCAin!$Y163*$O147)</f>
        <v/>
      </c>
      <c r="BN147" s="345" t="str">
        <f>IF($P147="","",MCAin!$Y163*$P147)</f>
        <v/>
      </c>
      <c r="BO147" s="345" t="str">
        <f>IF($Q147="","",MCAin!$Y163*$Q147)</f>
        <v/>
      </c>
      <c r="BP147" s="345" t="str">
        <f>IF($R147="","",MCAin!$Y163*$R147)</f>
        <v/>
      </c>
      <c r="BQ147" s="347" t="str">
        <f>IF($S147="","",MCAin!$Y163*$S147)</f>
        <v/>
      </c>
      <c r="BR147" s="315"/>
      <c r="BS147" s="315"/>
      <c r="BT147" s="315"/>
      <c r="BU147" s="315"/>
      <c r="BV147" s="315"/>
      <c r="BW147" s="315"/>
      <c r="BX147" s="315"/>
      <c r="BY147" s="315"/>
      <c r="BZ147" s="315"/>
    </row>
    <row r="148" spans="1:78" ht="15" customHeight="1">
      <c r="A148" s="332"/>
      <c r="B148" s="110" t="str">
        <f>PTAout!D184</f>
        <v>Air pollution (PM2.5)</v>
      </c>
      <c r="C148" s="233"/>
      <c r="D148" s="234" t="str">
        <f>PTAout!H184</f>
        <v/>
      </c>
      <c r="E148" s="234" t="str">
        <f>PTAout!L184</f>
        <v/>
      </c>
      <c r="F148" s="234" t="str">
        <f>PTAout!Q184</f>
        <v/>
      </c>
      <c r="G148" s="234" t="str">
        <f>PTAout!V184</f>
        <v/>
      </c>
      <c r="H148" s="234" t="str">
        <f>PTAout!AA184</f>
        <v/>
      </c>
      <c r="I148" s="234" t="str">
        <f>PTAout!AF184</f>
        <v/>
      </c>
      <c r="J148" s="487" t="str">
        <f>IF(MCAin!O164="","",MCAin!O164)</f>
        <v/>
      </c>
      <c r="K148" s="487" t="str">
        <f>IF(MCAin!P164="","",MCAin!P164)</f>
        <v/>
      </c>
      <c r="L148" s="314"/>
      <c r="M148" s="343"/>
      <c r="N148" s="343" t="str">
        <f t="shared" ref="N148" si="41">IF(OR($M148&lt;&gt;1,D148=""),"",(D148-$J148)/($K148-$J148))</f>
        <v/>
      </c>
      <c r="O148" s="343" t="str">
        <f t="shared" ref="O148" si="42">IF(OR($M148&lt;&gt;1,E148=""),"",(E148-$J148)/($K148-$J148))</f>
        <v/>
      </c>
      <c r="P148" s="343" t="str">
        <f t="shared" ref="P148" si="43">IF(OR($M148&lt;&gt;1,F148=""),"",(F148-$J148)/($K148-$J148))</f>
        <v/>
      </c>
      <c r="Q148" s="343" t="str">
        <f t="shared" ref="Q148" si="44">IF(OR($M148&lt;&gt;1,G148=""),"",(G148-$J148)/($K148-$J148))</f>
        <v/>
      </c>
      <c r="R148" s="343" t="str">
        <f t="shared" ref="R148" si="45">IF(OR($M148&lt;&gt;1,H148=""),"",(H148-$J148)/($K148-$J148))</f>
        <v/>
      </c>
      <c r="S148" s="343" t="str">
        <f t="shared" ref="S148" si="46">IF(OR($M148&lt;&gt;1,I148=""),"",(I148-$J148)/($K148-$J148))</f>
        <v/>
      </c>
      <c r="T148" s="343"/>
      <c r="U148" s="344"/>
      <c r="V148" s="463" t="str">
        <f>IF($N148="","",MCAin!$R164*$N148)</f>
        <v/>
      </c>
      <c r="W148" s="345" t="str">
        <f>IF($O148="","",MCAin!$R164*$O148)</f>
        <v/>
      </c>
      <c r="X148" s="345" t="str">
        <f>IF($P148="","",MCAin!$R164*$P148)</f>
        <v/>
      </c>
      <c r="Y148" s="345" t="str">
        <f>IF($Q148="","",MCAin!$R164*$Q148)</f>
        <v/>
      </c>
      <c r="Z148" s="345" t="str">
        <f>IF($R148="","",MCAin!$R164*$R148)</f>
        <v/>
      </c>
      <c r="AA148" s="347" t="str">
        <f>IF($S148="","",MCAin!$R164*$S148)</f>
        <v/>
      </c>
      <c r="AB148" s="463" t="str">
        <f>IF($N148="","",MCAin!$S164*$N148)</f>
        <v/>
      </c>
      <c r="AC148" s="345" t="str">
        <f>IF($O148="","",MCAin!$S164*$O148)</f>
        <v/>
      </c>
      <c r="AD148" s="345" t="str">
        <f>IF($P148="","",MCAin!$S164*$P148)</f>
        <v/>
      </c>
      <c r="AE148" s="345" t="str">
        <f>IF($Q148="","",MCAin!$R164*$Q148)</f>
        <v/>
      </c>
      <c r="AF148" s="345" t="str">
        <f>IF($R148="","",MCAin!$R164*$R148)</f>
        <v/>
      </c>
      <c r="AG148" s="347" t="str">
        <f>IF($S148="","",MCAin!$S164*$S148)</f>
        <v/>
      </c>
      <c r="AH148" s="463" t="str">
        <f>IF($N148="","",MCAin!$T164*$N148)</f>
        <v/>
      </c>
      <c r="AI148" s="345" t="str">
        <f>IF($O148="","",MCAin!$T164*$O148)</f>
        <v/>
      </c>
      <c r="AJ148" s="345" t="str">
        <f>IF($P148="","",MCAin!$T164*$P148)</f>
        <v/>
      </c>
      <c r="AK148" s="345" t="str">
        <f>IF($Q148="","",MCAin!$T164*$Q148)</f>
        <v/>
      </c>
      <c r="AL148" s="345" t="str">
        <f>IF($R148="","",MCAin!$R164*$R148)</f>
        <v/>
      </c>
      <c r="AM148" s="347" t="str">
        <f>IF($S148="","",MCAin!$S164*$S148)</f>
        <v/>
      </c>
      <c r="AN148" s="463" t="str">
        <f>IF($N148="","",MCAin!$U164*$N148)</f>
        <v/>
      </c>
      <c r="AO148" s="345" t="str">
        <f>IF($O148="","",MCAin!$U164*$O148)</f>
        <v/>
      </c>
      <c r="AP148" s="345" t="str">
        <f>IF($P148="","",MCAin!$U164*$P148)</f>
        <v/>
      </c>
      <c r="AQ148" s="345" t="str">
        <f>IF($Q148="","",MCAin!$U164*$Q148)</f>
        <v/>
      </c>
      <c r="AR148" s="345" t="str">
        <f>IF($R148="","",MCAin!$U164*$R148)</f>
        <v/>
      </c>
      <c r="AS148" s="347" t="str">
        <f>IF($S148="","",MCAin!$U164*$S148)</f>
        <v/>
      </c>
      <c r="AT148" s="463" t="str">
        <f>IF($N148="","",MCAin!$V164*$N148)</f>
        <v/>
      </c>
      <c r="AU148" s="345" t="str">
        <f>IF($O148="","",MCAin!$V164*$O148)</f>
        <v/>
      </c>
      <c r="AV148" s="345" t="str">
        <f>IF($P148="","",MCAin!$V164*$P148)</f>
        <v/>
      </c>
      <c r="AW148" s="345" t="str">
        <f>IF($Q148="","",MCAin!$V164*$Q148)</f>
        <v/>
      </c>
      <c r="AX148" s="345" t="str">
        <f>IF($R148="","",MCAin!$V164*$R148)</f>
        <v/>
      </c>
      <c r="AY148" s="347" t="str">
        <f>IF($S148="","",MCAin!$V164*$S148)</f>
        <v/>
      </c>
      <c r="AZ148" s="463" t="str">
        <f>IF($N148="","",MCAin!$W164*$N148)</f>
        <v/>
      </c>
      <c r="BA148" s="345" t="str">
        <f>IF($O148="","",MCAin!$W164*$O148)</f>
        <v/>
      </c>
      <c r="BB148" s="345" t="str">
        <f>IF($P148="","",MCAin!$W164*$P148)</f>
        <v/>
      </c>
      <c r="BC148" s="345" t="str">
        <f>IF($Q148="","",MCAin!$W164*$Q148)</f>
        <v/>
      </c>
      <c r="BD148" s="345" t="str">
        <f>IF($R148="","",MCAin!$W164*$R148)</f>
        <v/>
      </c>
      <c r="BE148" s="347" t="str">
        <f>IF($S148="","",MCAin!$W164*$S148)</f>
        <v/>
      </c>
      <c r="BF148" s="463" t="str">
        <f>IF($N148="","",MCAin!$X164*$N148)</f>
        <v/>
      </c>
      <c r="BG148" s="345" t="str">
        <f>IF($O148="","",MCAin!$X164*$O148)</f>
        <v/>
      </c>
      <c r="BH148" s="345" t="str">
        <f>IF($P148="","",MCAin!$X164*$P148)</f>
        <v/>
      </c>
      <c r="BI148" s="345" t="str">
        <f>IF($Q148="","",MCAin!$X164*$Q148)</f>
        <v/>
      </c>
      <c r="BJ148" s="345" t="str">
        <f>IF($R148="","",MCAin!$X164*$R148)</f>
        <v/>
      </c>
      <c r="BK148" s="347" t="str">
        <f>IF($S148="","",MCAin!$X164*$S148)</f>
        <v/>
      </c>
      <c r="BL148" s="463" t="str">
        <f>IF($N148="","",MCAin!$Y164*$N148)</f>
        <v/>
      </c>
      <c r="BM148" s="345" t="str">
        <f>IF($O148="","",MCAin!$Y164*$O148)</f>
        <v/>
      </c>
      <c r="BN148" s="345" t="str">
        <f>IF($P148="","",MCAin!$Y164*$P148)</f>
        <v/>
      </c>
      <c r="BO148" s="345" t="str">
        <f>IF($Q148="","",MCAin!$Y164*$Q148)</f>
        <v/>
      </c>
      <c r="BP148" s="345" t="str">
        <f>IF($R148="","",MCAin!$Y164*$R148)</f>
        <v/>
      </c>
      <c r="BQ148" s="347" t="str">
        <f>IF($S148="","",MCAin!$Y164*$S148)</f>
        <v/>
      </c>
      <c r="BR148" s="315"/>
      <c r="BS148" s="315"/>
      <c r="BT148" s="315"/>
      <c r="BU148" s="315"/>
      <c r="BV148" s="315"/>
      <c r="BW148" s="315"/>
      <c r="BX148" s="315"/>
      <c r="BY148" s="315"/>
      <c r="BZ148" s="315"/>
    </row>
    <row r="149" spans="1:78" ht="15" customHeight="1">
      <c r="A149" s="332"/>
      <c r="B149" s="110" t="str">
        <f>PTAout!D185</f>
        <v>Air pollution (No2)</v>
      </c>
      <c r="C149" s="233"/>
      <c r="D149" s="234" t="str">
        <f>PTAout!H185</f>
        <v/>
      </c>
      <c r="E149" s="234" t="str">
        <f>PTAout!L185</f>
        <v/>
      </c>
      <c r="F149" s="234" t="str">
        <f>PTAout!Q185</f>
        <v/>
      </c>
      <c r="G149" s="234" t="str">
        <f>PTAout!V185</f>
        <v/>
      </c>
      <c r="H149" s="234" t="str">
        <f>PTAout!AA185</f>
        <v/>
      </c>
      <c r="I149" s="234" t="str">
        <f>PTAout!AF185</f>
        <v/>
      </c>
      <c r="J149" s="487" t="str">
        <f>IF(MCAin!O165="","",MCAin!O165)</f>
        <v/>
      </c>
      <c r="K149" s="487" t="str">
        <f>IF(MCAin!P165="","",MCAin!P165)</f>
        <v/>
      </c>
      <c r="L149" s="314"/>
      <c r="M149" s="343"/>
      <c r="N149" s="343" t="str">
        <f t="shared" ref="N149" si="47">IF(OR($M149&lt;&gt;1,D149=""),"",(D149-$J149)/($K149-$J149))</f>
        <v/>
      </c>
      <c r="O149" s="343" t="str">
        <f t="shared" ref="O149" si="48">IF(OR($M149&lt;&gt;1,E149=""),"",(E149-$J149)/($K149-$J149))</f>
        <v/>
      </c>
      <c r="P149" s="343" t="str">
        <f t="shared" ref="P149" si="49">IF(OR($M149&lt;&gt;1,F149=""),"",(F149-$J149)/($K149-$J149))</f>
        <v/>
      </c>
      <c r="Q149" s="343" t="str">
        <f t="shared" ref="Q149" si="50">IF(OR($M149&lt;&gt;1,G149=""),"",(G149-$J149)/($K149-$J149))</f>
        <v/>
      </c>
      <c r="R149" s="343" t="str">
        <f t="shared" ref="R149" si="51">IF(OR($M149&lt;&gt;1,H149=""),"",(H149-$J149)/($K149-$J149))</f>
        <v/>
      </c>
      <c r="S149" s="343" t="str">
        <f t="shared" ref="S149" si="52">IF(OR($M149&lt;&gt;1,I149=""),"",(I149-$J149)/($K149-$J149))</f>
        <v/>
      </c>
      <c r="T149" s="343"/>
      <c r="U149" s="344"/>
      <c r="V149" s="463" t="str">
        <f>IF($N149="","",MCAin!$R165*$N149)</f>
        <v/>
      </c>
      <c r="W149" s="345" t="str">
        <f>IF($O149="","",MCAin!$R165*$O149)</f>
        <v/>
      </c>
      <c r="X149" s="345" t="str">
        <f>IF($P149="","",MCAin!$R165*$P149)</f>
        <v/>
      </c>
      <c r="Y149" s="345" t="str">
        <f>IF($Q149="","",MCAin!$R165*$Q149)</f>
        <v/>
      </c>
      <c r="Z149" s="345" t="str">
        <f>IF($R149="","",MCAin!$R165*$R149)</f>
        <v/>
      </c>
      <c r="AA149" s="347" t="str">
        <f>IF($S149="","",MCAin!$R165*$S149)</f>
        <v/>
      </c>
      <c r="AB149" s="463" t="str">
        <f>IF($N149="","",MCAin!$S165*$N149)</f>
        <v/>
      </c>
      <c r="AC149" s="345" t="str">
        <f>IF($O149="","",MCAin!$S165*$O149)</f>
        <v/>
      </c>
      <c r="AD149" s="345" t="str">
        <f>IF($P149="","",MCAin!$S165*$P149)</f>
        <v/>
      </c>
      <c r="AE149" s="345" t="str">
        <f>IF($Q149="","",MCAin!$R165*$Q149)</f>
        <v/>
      </c>
      <c r="AF149" s="345" t="str">
        <f>IF($R149="","",MCAin!$R165*$R149)</f>
        <v/>
      </c>
      <c r="AG149" s="347" t="str">
        <f>IF($S149="","",MCAin!$S165*$S149)</f>
        <v/>
      </c>
      <c r="AH149" s="463" t="str">
        <f>IF($N149="","",MCAin!$T165*$N149)</f>
        <v/>
      </c>
      <c r="AI149" s="345" t="str">
        <f>IF($O149="","",MCAin!$T165*$O149)</f>
        <v/>
      </c>
      <c r="AJ149" s="345" t="str">
        <f>IF($P149="","",MCAin!$T165*$P149)</f>
        <v/>
      </c>
      <c r="AK149" s="345" t="str">
        <f>IF($Q149="","",MCAin!$T165*$Q149)</f>
        <v/>
      </c>
      <c r="AL149" s="345" t="str">
        <f>IF($R149="","",MCAin!$R165*$R149)</f>
        <v/>
      </c>
      <c r="AM149" s="347" t="str">
        <f>IF($S149="","",MCAin!$S165*$S149)</f>
        <v/>
      </c>
      <c r="AN149" s="463" t="str">
        <f>IF($N149="","",MCAin!$U165*$N149)</f>
        <v/>
      </c>
      <c r="AO149" s="345" t="str">
        <f>IF($O149="","",MCAin!$U165*$O149)</f>
        <v/>
      </c>
      <c r="AP149" s="345" t="str">
        <f>IF($P149="","",MCAin!$U165*$P149)</f>
        <v/>
      </c>
      <c r="AQ149" s="345" t="str">
        <f>IF($Q149="","",MCAin!$U165*$Q149)</f>
        <v/>
      </c>
      <c r="AR149" s="345" t="str">
        <f>IF($R149="","",MCAin!$U165*$R149)</f>
        <v/>
      </c>
      <c r="AS149" s="347" t="str">
        <f>IF($S149="","",MCAin!$U165*$S149)</f>
        <v/>
      </c>
      <c r="AT149" s="463" t="str">
        <f>IF($N149="","",MCAin!$V165*$N149)</f>
        <v/>
      </c>
      <c r="AU149" s="345" t="str">
        <f>IF($O149="","",MCAin!$V165*$O149)</f>
        <v/>
      </c>
      <c r="AV149" s="345" t="str">
        <f>IF($P149="","",MCAin!$V165*$P149)</f>
        <v/>
      </c>
      <c r="AW149" s="345" t="str">
        <f>IF($Q149="","",MCAin!$V165*$Q149)</f>
        <v/>
      </c>
      <c r="AX149" s="345" t="str">
        <f>IF($R149="","",MCAin!$V165*$R149)</f>
        <v/>
      </c>
      <c r="AY149" s="347" t="str">
        <f>IF($S149="","",MCAin!$V165*$S149)</f>
        <v/>
      </c>
      <c r="AZ149" s="463" t="str">
        <f>IF($N149="","",MCAin!$W165*$N149)</f>
        <v/>
      </c>
      <c r="BA149" s="345" t="str">
        <f>IF($O149="","",MCAin!$W165*$O149)</f>
        <v/>
      </c>
      <c r="BB149" s="345" t="str">
        <f>IF($P149="","",MCAin!$W165*$P149)</f>
        <v/>
      </c>
      <c r="BC149" s="345" t="str">
        <f>IF($Q149="","",MCAin!$W165*$Q149)</f>
        <v/>
      </c>
      <c r="BD149" s="345" t="str">
        <f>IF($R149="","",MCAin!$W165*$R149)</f>
        <v/>
      </c>
      <c r="BE149" s="347" t="str">
        <f>IF($S149="","",MCAin!$W165*$S149)</f>
        <v/>
      </c>
      <c r="BF149" s="463" t="str">
        <f>IF($N149="","",MCAin!$X165*$N149)</f>
        <v/>
      </c>
      <c r="BG149" s="345" t="str">
        <f>IF($O149="","",MCAin!$X165*$O149)</f>
        <v/>
      </c>
      <c r="BH149" s="345" t="str">
        <f>IF($P149="","",MCAin!$X165*$P149)</f>
        <v/>
      </c>
      <c r="BI149" s="345" t="str">
        <f>IF($Q149="","",MCAin!$X165*$Q149)</f>
        <v/>
      </c>
      <c r="BJ149" s="345" t="str">
        <f>IF($R149="","",MCAin!$X165*$R149)</f>
        <v/>
      </c>
      <c r="BK149" s="347" t="str">
        <f>IF($S149="","",MCAin!$X165*$S149)</f>
        <v/>
      </c>
      <c r="BL149" s="463" t="str">
        <f>IF($N149="","",MCAin!$Y165*$N149)</f>
        <v/>
      </c>
      <c r="BM149" s="345" t="str">
        <f>IF($O149="","",MCAin!$Y165*$O149)</f>
        <v/>
      </c>
      <c r="BN149" s="345" t="str">
        <f>IF($P149="","",MCAin!$Y165*$P149)</f>
        <v/>
      </c>
      <c r="BO149" s="345" t="str">
        <f>IF($Q149="","",MCAin!$Y165*$Q149)</f>
        <v/>
      </c>
      <c r="BP149" s="345" t="str">
        <f>IF($R149="","",MCAin!$Y165*$R149)</f>
        <v/>
      </c>
      <c r="BQ149" s="347" t="str">
        <f>IF($S149="","",MCAin!$Y165*$S149)</f>
        <v/>
      </c>
      <c r="BR149" s="315"/>
      <c r="BS149" s="315"/>
      <c r="BT149" s="315"/>
      <c r="BU149" s="315"/>
      <c r="BV149" s="315"/>
      <c r="BW149" s="315"/>
      <c r="BX149" s="315"/>
      <c r="BY149" s="315"/>
      <c r="BZ149" s="315"/>
    </row>
    <row r="150" spans="1:78" ht="15" customHeight="1">
      <c r="A150" s="332"/>
      <c r="B150" s="110" t="str">
        <f>PTAout!D186</f>
        <v>Noise</v>
      </c>
      <c r="C150" s="233"/>
      <c r="D150" s="234" t="str">
        <f>PTAout!H186</f>
        <v/>
      </c>
      <c r="E150" s="234" t="str">
        <f>PTAout!L186</f>
        <v/>
      </c>
      <c r="F150" s="234" t="str">
        <f>PTAout!Q186</f>
        <v/>
      </c>
      <c r="G150" s="234" t="str">
        <f>PTAout!V186</f>
        <v/>
      </c>
      <c r="H150" s="234" t="str">
        <f>PTAout!AA186</f>
        <v/>
      </c>
      <c r="I150" s="234" t="str">
        <f>PTAout!AF186</f>
        <v/>
      </c>
      <c r="J150" s="487" t="str">
        <f>IF(MCAin!O166="","",MCAin!O166)</f>
        <v/>
      </c>
      <c r="K150" s="487" t="str">
        <f>IF(MCAin!P166="","",MCAin!P166)</f>
        <v/>
      </c>
      <c r="L150" s="314"/>
      <c r="M150" s="343"/>
      <c r="N150" s="343" t="str">
        <f t="shared" si="40"/>
        <v/>
      </c>
      <c r="O150" s="343" t="str">
        <f t="shared" si="40"/>
        <v/>
      </c>
      <c r="P150" s="343" t="str">
        <f t="shared" si="40"/>
        <v/>
      </c>
      <c r="Q150" s="343" t="str">
        <f t="shared" si="40"/>
        <v/>
      </c>
      <c r="R150" s="343" t="str">
        <f t="shared" si="40"/>
        <v/>
      </c>
      <c r="S150" s="343" t="str">
        <f t="shared" si="40"/>
        <v/>
      </c>
      <c r="T150" s="343"/>
      <c r="U150" s="344"/>
      <c r="V150" s="463" t="str">
        <f>IF($N150="","",MCAin!$R166*$N150)</f>
        <v/>
      </c>
      <c r="W150" s="345" t="str">
        <f>IF($O150="","",MCAin!$R166*$O150)</f>
        <v/>
      </c>
      <c r="X150" s="345" t="str">
        <f>IF($P150="","",MCAin!$R166*$P150)</f>
        <v/>
      </c>
      <c r="Y150" s="345" t="str">
        <f>IF($Q150="","",MCAin!$R166*$Q150)</f>
        <v/>
      </c>
      <c r="Z150" s="345" t="str">
        <f>IF($R150="","",MCAin!$R166*$R150)</f>
        <v/>
      </c>
      <c r="AA150" s="347" t="str">
        <f>IF($S150="","",MCAin!$R166*$S150)</f>
        <v/>
      </c>
      <c r="AB150" s="463" t="str">
        <f>IF($N150="","",MCAin!$S166*$N150)</f>
        <v/>
      </c>
      <c r="AC150" s="345" t="str">
        <f>IF($O150="","",MCAin!$S166*$O150)</f>
        <v/>
      </c>
      <c r="AD150" s="345" t="str">
        <f>IF($P150="","",MCAin!$S166*$P150)</f>
        <v/>
      </c>
      <c r="AE150" s="345" t="str">
        <f>IF($Q150="","",MCAin!$R166*$Q150)</f>
        <v/>
      </c>
      <c r="AF150" s="345" t="str">
        <f>IF($R150="","",MCAin!$R166*$R150)</f>
        <v/>
      </c>
      <c r="AG150" s="347" t="str">
        <f>IF($S150="","",MCAin!$S166*$S150)</f>
        <v/>
      </c>
      <c r="AH150" s="463" t="str">
        <f>IF($N150="","",MCAin!$T166*$N150)</f>
        <v/>
      </c>
      <c r="AI150" s="345" t="str">
        <f>IF($O150="","",MCAin!$T166*$O150)</f>
        <v/>
      </c>
      <c r="AJ150" s="345" t="str">
        <f>IF($P150="","",MCAin!$T166*$P150)</f>
        <v/>
      </c>
      <c r="AK150" s="345" t="str">
        <f>IF($Q150="","",MCAin!$T166*$Q150)</f>
        <v/>
      </c>
      <c r="AL150" s="345" t="str">
        <f>IF($R150="","",MCAin!$R166*$R150)</f>
        <v/>
      </c>
      <c r="AM150" s="347" t="str">
        <f>IF($S150="","",MCAin!$S166*$S150)</f>
        <v/>
      </c>
      <c r="AN150" s="463" t="str">
        <f>IF($N150="","",MCAin!$U166*$N150)</f>
        <v/>
      </c>
      <c r="AO150" s="345" t="str">
        <f>IF($O150="","",MCAin!$U166*$O150)</f>
        <v/>
      </c>
      <c r="AP150" s="345" t="str">
        <f>IF($P150="","",MCAin!$U166*$P150)</f>
        <v/>
      </c>
      <c r="AQ150" s="345" t="str">
        <f>IF($Q150="","",MCAin!$U166*$Q150)</f>
        <v/>
      </c>
      <c r="AR150" s="345" t="str">
        <f>IF($R150="","",MCAin!$U166*$R150)</f>
        <v/>
      </c>
      <c r="AS150" s="347" t="str">
        <f>IF($S150="","",MCAin!$U166*$S150)</f>
        <v/>
      </c>
      <c r="AT150" s="463" t="str">
        <f>IF($N150="","",MCAin!$V166*$N150)</f>
        <v/>
      </c>
      <c r="AU150" s="345" t="str">
        <f>IF($O150="","",MCAin!$V166*$O150)</f>
        <v/>
      </c>
      <c r="AV150" s="345" t="str">
        <f>IF($P150="","",MCAin!$V166*$P150)</f>
        <v/>
      </c>
      <c r="AW150" s="345" t="str">
        <f>IF($Q150="","",MCAin!$V166*$Q150)</f>
        <v/>
      </c>
      <c r="AX150" s="345" t="str">
        <f>IF($R150="","",MCAin!$V166*$R150)</f>
        <v/>
      </c>
      <c r="AY150" s="347" t="str">
        <f>IF($S150="","",MCAin!$V166*$S150)</f>
        <v/>
      </c>
      <c r="AZ150" s="463" t="str">
        <f>IF($N150="","",MCAin!$W166*$N150)</f>
        <v/>
      </c>
      <c r="BA150" s="345" t="str">
        <f>IF($O150="","",MCAin!$W166*$O150)</f>
        <v/>
      </c>
      <c r="BB150" s="345" t="str">
        <f>IF($P150="","",MCAin!$W166*$P150)</f>
        <v/>
      </c>
      <c r="BC150" s="345" t="str">
        <f>IF($Q150="","",MCAin!$W166*$Q150)</f>
        <v/>
      </c>
      <c r="BD150" s="345" t="str">
        <f>IF($R150="","",MCAin!$W166*$R150)</f>
        <v/>
      </c>
      <c r="BE150" s="347" t="str">
        <f>IF($S150="","",MCAin!$W166*$S150)</f>
        <v/>
      </c>
      <c r="BF150" s="463" t="str">
        <f>IF($N150="","",MCAin!$X166*$N150)</f>
        <v/>
      </c>
      <c r="BG150" s="345" t="str">
        <f>IF($O150="","",MCAin!$X166*$O150)</f>
        <v/>
      </c>
      <c r="BH150" s="345" t="str">
        <f>IF($P150="","",MCAin!$X166*$P150)</f>
        <v/>
      </c>
      <c r="BI150" s="345" t="str">
        <f>IF($Q150="","",MCAin!$X166*$Q150)</f>
        <v/>
      </c>
      <c r="BJ150" s="345" t="str">
        <f>IF($R150="","",MCAin!$X166*$R150)</f>
        <v/>
      </c>
      <c r="BK150" s="347" t="str">
        <f>IF($S150="","",MCAin!$X166*$S150)</f>
        <v/>
      </c>
      <c r="BL150" s="463" t="str">
        <f>IF($N150="","",MCAin!$Y166*$N150)</f>
        <v/>
      </c>
      <c r="BM150" s="345" t="str">
        <f>IF($O150="","",MCAin!$Y166*$O150)</f>
        <v/>
      </c>
      <c r="BN150" s="345" t="str">
        <f>IF($P150="","",MCAin!$Y166*$P150)</f>
        <v/>
      </c>
      <c r="BO150" s="345" t="str">
        <f>IF($Q150="","",MCAin!$Y166*$Q150)</f>
        <v/>
      </c>
      <c r="BP150" s="345" t="str">
        <f>IF($R150="","",MCAin!$Y166*$R150)</f>
        <v/>
      </c>
      <c r="BQ150" s="347" t="str">
        <f>IF($S150="","",MCAin!$Y166*$S150)</f>
        <v/>
      </c>
      <c r="BR150" s="315"/>
      <c r="BS150" s="315"/>
      <c r="BT150" s="315"/>
      <c r="BU150" s="315"/>
      <c r="BV150" s="315"/>
      <c r="BW150" s="315"/>
      <c r="BX150" s="315"/>
      <c r="BY150" s="315"/>
      <c r="BZ150" s="315"/>
    </row>
    <row r="151" spans="1:78" ht="15" customHeight="1">
      <c r="A151" s="332"/>
      <c r="B151" s="110" t="str">
        <f>PTAout!D187</f>
        <v>Soil and water</v>
      </c>
      <c r="C151" s="233"/>
      <c r="D151" s="329" t="str">
        <f>PTAout!H187</f>
        <v/>
      </c>
      <c r="E151" s="329" t="str">
        <f>PTAout!L187</f>
        <v/>
      </c>
      <c r="F151" s="329" t="str">
        <f>PTAout!Q187</f>
        <v/>
      </c>
      <c r="G151" s="329" t="str">
        <f>PTAout!V187</f>
        <v/>
      </c>
      <c r="H151" s="329" t="str">
        <f>PTAout!AA187</f>
        <v/>
      </c>
      <c r="I151" s="329" t="str">
        <f>PTAout!AF187</f>
        <v/>
      </c>
      <c r="J151" s="488" t="str">
        <f>IF(MCAin!O167="","",MCAin!O167)</f>
        <v/>
      </c>
      <c r="K151" s="488" t="str">
        <f>IF(MCAin!P167="","",MCAin!P167)</f>
        <v/>
      </c>
      <c r="L151" s="314"/>
      <c r="M151" s="343"/>
      <c r="N151" s="343" t="str">
        <f t="shared" si="40"/>
        <v/>
      </c>
      <c r="O151" s="343" t="str">
        <f t="shared" si="40"/>
        <v/>
      </c>
      <c r="P151" s="343" t="str">
        <f t="shared" si="40"/>
        <v/>
      </c>
      <c r="Q151" s="343" t="str">
        <f t="shared" si="40"/>
        <v/>
      </c>
      <c r="R151" s="343" t="str">
        <f t="shared" si="40"/>
        <v/>
      </c>
      <c r="S151" s="343" t="str">
        <f t="shared" si="40"/>
        <v/>
      </c>
      <c r="T151" s="343"/>
      <c r="U151" s="344"/>
      <c r="V151" s="463" t="str">
        <f>IF($N151="","",MCAin!$R167*$N151)</f>
        <v/>
      </c>
      <c r="W151" s="345" t="str">
        <f>IF($O151="","",MCAin!$R167*$O151)</f>
        <v/>
      </c>
      <c r="X151" s="345" t="str">
        <f>IF($P151="","",MCAin!$R167*$P151)</f>
        <v/>
      </c>
      <c r="Y151" s="345" t="str">
        <f>IF($Q151="","",MCAin!$R167*$Q151)</f>
        <v/>
      </c>
      <c r="Z151" s="345" t="str">
        <f>IF($R151="","",MCAin!$R167*$R151)</f>
        <v/>
      </c>
      <c r="AA151" s="347" t="str">
        <f>IF($S151="","",MCAin!$R167*$S151)</f>
        <v/>
      </c>
      <c r="AB151" s="463" t="str">
        <f>IF($N151="","",MCAin!$S167*$N151)</f>
        <v/>
      </c>
      <c r="AC151" s="345" t="str">
        <f>IF($O151="","",MCAin!$S167*$O151)</f>
        <v/>
      </c>
      <c r="AD151" s="345" t="str">
        <f>IF($P151="","",MCAin!$S167*$P151)</f>
        <v/>
      </c>
      <c r="AE151" s="345" t="str">
        <f>IF($Q151="","",MCAin!$R167*$Q151)</f>
        <v/>
      </c>
      <c r="AF151" s="345" t="str">
        <f>IF($R151="","",MCAin!$R167*$R151)</f>
        <v/>
      </c>
      <c r="AG151" s="347" t="str">
        <f>IF($S151="","",MCAin!$S167*$S151)</f>
        <v/>
      </c>
      <c r="AH151" s="463" t="str">
        <f>IF($N151="","",MCAin!$T167*$N151)</f>
        <v/>
      </c>
      <c r="AI151" s="345" t="str">
        <f>IF($O151="","",MCAin!$T167*$O151)</f>
        <v/>
      </c>
      <c r="AJ151" s="345" t="str">
        <f>IF($P151="","",MCAin!$T167*$P151)</f>
        <v/>
      </c>
      <c r="AK151" s="345" t="str">
        <f>IF($Q151="","",MCAin!$T167*$Q151)</f>
        <v/>
      </c>
      <c r="AL151" s="345" t="str">
        <f>IF($R151="","",MCAin!$R167*$R151)</f>
        <v/>
      </c>
      <c r="AM151" s="347" t="str">
        <f>IF($S151="","",MCAin!$S167*$S151)</f>
        <v/>
      </c>
      <c r="AN151" s="463" t="str">
        <f>IF($N151="","",MCAin!$U167*$N151)</f>
        <v/>
      </c>
      <c r="AO151" s="345" t="str">
        <f>IF($O151="","",MCAin!$U167*$O151)</f>
        <v/>
      </c>
      <c r="AP151" s="345" t="str">
        <f>IF($P151="","",MCAin!$U167*$P151)</f>
        <v/>
      </c>
      <c r="AQ151" s="345" t="str">
        <f>IF($Q151="","",MCAin!$U167*$Q151)</f>
        <v/>
      </c>
      <c r="AR151" s="345" t="str">
        <f>IF($R151="","",MCAin!$U167*$R151)</f>
        <v/>
      </c>
      <c r="AS151" s="347" t="str">
        <f>IF($S151="","",MCAin!$U167*$S151)</f>
        <v/>
      </c>
      <c r="AT151" s="463" t="str">
        <f>IF($N151="","",MCAin!$V167*$N151)</f>
        <v/>
      </c>
      <c r="AU151" s="345" t="str">
        <f>IF($O151="","",MCAin!$V167*$O151)</f>
        <v/>
      </c>
      <c r="AV151" s="345" t="str">
        <f>IF($P151="","",MCAin!$V167*$P151)</f>
        <v/>
      </c>
      <c r="AW151" s="345" t="str">
        <f>IF($Q151="","",MCAin!$V167*$Q151)</f>
        <v/>
      </c>
      <c r="AX151" s="345" t="str">
        <f>IF($R151="","",MCAin!$V167*$R151)</f>
        <v/>
      </c>
      <c r="AY151" s="347" t="str">
        <f>IF($S151="","",MCAin!$V167*$S151)</f>
        <v/>
      </c>
      <c r="AZ151" s="463" t="str">
        <f>IF($N151="","",MCAin!$W167*$N151)</f>
        <v/>
      </c>
      <c r="BA151" s="345" t="str">
        <f>IF($O151="","",MCAin!$W167*$O151)</f>
        <v/>
      </c>
      <c r="BB151" s="345" t="str">
        <f>IF($P151="","",MCAin!$W167*$P151)</f>
        <v/>
      </c>
      <c r="BC151" s="345" t="str">
        <f>IF($Q151="","",MCAin!$W167*$Q151)</f>
        <v/>
      </c>
      <c r="BD151" s="345" t="str">
        <f>IF($R151="","",MCAin!$W167*$R151)</f>
        <v/>
      </c>
      <c r="BE151" s="347" t="str">
        <f>IF($S151="","",MCAin!$W167*$S151)</f>
        <v/>
      </c>
      <c r="BF151" s="463" t="str">
        <f>IF($N151="","",MCAin!$X167*$N151)</f>
        <v/>
      </c>
      <c r="BG151" s="345" t="str">
        <f>IF($O151="","",MCAin!$X167*$O151)</f>
        <v/>
      </c>
      <c r="BH151" s="345" t="str">
        <f>IF($P151="","",MCAin!$X167*$P151)</f>
        <v/>
      </c>
      <c r="BI151" s="345" t="str">
        <f>IF($Q151="","",MCAin!$X167*$Q151)</f>
        <v/>
      </c>
      <c r="BJ151" s="345" t="str">
        <f>IF($R151="","",MCAin!$X167*$R151)</f>
        <v/>
      </c>
      <c r="BK151" s="347" t="str">
        <f>IF($S151="","",MCAin!$X167*$S151)</f>
        <v/>
      </c>
      <c r="BL151" s="463" t="str">
        <f>IF($N151="","",MCAin!$Y167*$N151)</f>
        <v/>
      </c>
      <c r="BM151" s="345" t="str">
        <f>IF($O151="","",MCAin!$Y167*$O151)</f>
        <v/>
      </c>
      <c r="BN151" s="345" t="str">
        <f>IF($P151="","",MCAin!$Y167*$P151)</f>
        <v/>
      </c>
      <c r="BO151" s="345" t="str">
        <f>IF($Q151="","",MCAin!$Y167*$Q151)</f>
        <v/>
      </c>
      <c r="BP151" s="345" t="str">
        <f>IF($R151="","",MCAin!$Y167*$R151)</f>
        <v/>
      </c>
      <c r="BQ151" s="347" t="str">
        <f>IF($S151="","",MCAin!$Y167*$S151)</f>
        <v/>
      </c>
      <c r="BR151" s="315"/>
      <c r="BS151" s="315"/>
      <c r="BT151" s="315"/>
      <c r="BU151" s="315"/>
      <c r="BV151" s="315"/>
      <c r="BW151" s="315"/>
      <c r="BX151" s="315"/>
      <c r="BY151" s="315"/>
      <c r="BZ151" s="315"/>
    </row>
    <row r="152" spans="1:78" ht="15" customHeight="1">
      <c r="A152" s="332"/>
      <c r="B152" s="110" t="str">
        <f>PTAout!D188</f>
        <v>Local climate</v>
      </c>
      <c r="C152" s="233"/>
      <c r="D152" s="234" t="str">
        <f>PTAout!H188</f>
        <v/>
      </c>
      <c r="E152" s="234" t="str">
        <f>PTAout!L188</f>
        <v/>
      </c>
      <c r="F152" s="234" t="str">
        <f>PTAout!Q188</f>
        <v/>
      </c>
      <c r="G152" s="234" t="str">
        <f>PTAout!V188</f>
        <v/>
      </c>
      <c r="H152" s="234" t="str">
        <f>PTAout!AA188</f>
        <v/>
      </c>
      <c r="I152" s="234" t="str">
        <f>PTAout!AF188</f>
        <v/>
      </c>
      <c r="J152" s="487" t="str">
        <f>IF(MCAin!O168="","",MCAin!O168)</f>
        <v/>
      </c>
      <c r="K152" s="487" t="str">
        <f>IF(MCAin!P168="","",MCAin!P168)</f>
        <v/>
      </c>
      <c r="L152" s="314"/>
      <c r="M152" s="343"/>
      <c r="N152" s="343" t="str">
        <f t="shared" si="40"/>
        <v/>
      </c>
      <c r="O152" s="343" t="str">
        <f t="shared" si="40"/>
        <v/>
      </c>
      <c r="P152" s="343" t="str">
        <f t="shared" si="40"/>
        <v/>
      </c>
      <c r="Q152" s="343" t="str">
        <f t="shared" si="40"/>
        <v/>
      </c>
      <c r="R152" s="343" t="str">
        <f t="shared" si="40"/>
        <v/>
      </c>
      <c r="S152" s="343" t="str">
        <f t="shared" si="40"/>
        <v/>
      </c>
      <c r="T152" s="343"/>
      <c r="U152" s="314"/>
      <c r="V152" s="463" t="str">
        <f>IF($N152="","",MCAin!$R168*$N152)</f>
        <v/>
      </c>
      <c r="W152" s="345" t="str">
        <f>IF($O152="","",MCAin!$R168*$O152)</f>
        <v/>
      </c>
      <c r="X152" s="345" t="str">
        <f>IF($P152="","",MCAin!$R168*$P152)</f>
        <v/>
      </c>
      <c r="Y152" s="345" t="str">
        <f>IF($Q152="","",MCAin!$R168*$Q152)</f>
        <v/>
      </c>
      <c r="Z152" s="345" t="str">
        <f>IF($R152="","",MCAin!$R168*$R152)</f>
        <v/>
      </c>
      <c r="AA152" s="347" t="str">
        <f>IF($S152="","",MCAin!$R168*$S152)</f>
        <v/>
      </c>
      <c r="AB152" s="463" t="str">
        <f>IF($N152="","",MCAin!$S168*$N152)</f>
        <v/>
      </c>
      <c r="AC152" s="345" t="str">
        <f>IF($O152="","",MCAin!$S168*$O152)</f>
        <v/>
      </c>
      <c r="AD152" s="345" t="str">
        <f>IF($P152="","",MCAin!$S168*$P152)</f>
        <v/>
      </c>
      <c r="AE152" s="345" t="str">
        <f>IF($Q152="","",MCAin!$R168*$Q152)</f>
        <v/>
      </c>
      <c r="AF152" s="345" t="str">
        <f>IF($R152="","",MCAin!$R168*$R152)</f>
        <v/>
      </c>
      <c r="AG152" s="347" t="str">
        <f>IF($S152="","",MCAin!$S168*$S152)</f>
        <v/>
      </c>
      <c r="AH152" s="463" t="str">
        <f>IF($N152="","",MCAin!$T168*$N152)</f>
        <v/>
      </c>
      <c r="AI152" s="345" t="str">
        <f>IF($O152="","",MCAin!$T168*$O152)</f>
        <v/>
      </c>
      <c r="AJ152" s="345" t="str">
        <f>IF($P152="","",MCAin!$T168*$P152)</f>
        <v/>
      </c>
      <c r="AK152" s="345" t="str">
        <f>IF($Q152="","",MCAin!$T168*$Q152)</f>
        <v/>
      </c>
      <c r="AL152" s="345" t="str">
        <f>IF($R152="","",MCAin!$R168*$R152)</f>
        <v/>
      </c>
      <c r="AM152" s="347" t="str">
        <f>IF($S152="","",MCAin!$S168*$S152)</f>
        <v/>
      </c>
      <c r="AN152" s="463" t="str">
        <f>IF($N152="","",MCAin!$U168*$N152)</f>
        <v/>
      </c>
      <c r="AO152" s="345" t="str">
        <f>IF($O152="","",MCAin!$U168*$O152)</f>
        <v/>
      </c>
      <c r="AP152" s="345" t="str">
        <f>IF($P152="","",MCAin!$U168*$P152)</f>
        <v/>
      </c>
      <c r="AQ152" s="345" t="str">
        <f>IF($Q152="","",MCAin!$U168*$Q152)</f>
        <v/>
      </c>
      <c r="AR152" s="345" t="str">
        <f>IF($R152="","",MCAin!$U168*$R152)</f>
        <v/>
      </c>
      <c r="AS152" s="347" t="str">
        <f>IF($S152="","",MCAin!$U168*$S152)</f>
        <v/>
      </c>
      <c r="AT152" s="463" t="str">
        <f>IF($N152="","",MCAin!$V168*$N152)</f>
        <v/>
      </c>
      <c r="AU152" s="345" t="str">
        <f>IF($O152="","",MCAin!$V168*$O152)</f>
        <v/>
      </c>
      <c r="AV152" s="345" t="str">
        <f>IF($P152="","",MCAin!$V168*$P152)</f>
        <v/>
      </c>
      <c r="AW152" s="345" t="str">
        <f>IF($Q152="","",MCAin!$V168*$Q152)</f>
        <v/>
      </c>
      <c r="AX152" s="345" t="str">
        <f>IF($R152="","",MCAin!$V168*$R152)</f>
        <v/>
      </c>
      <c r="AY152" s="347" t="str">
        <f>IF($S152="","",MCAin!$V168*$S152)</f>
        <v/>
      </c>
      <c r="AZ152" s="463" t="str">
        <f>IF($N152="","",MCAin!$W168*$N152)</f>
        <v/>
      </c>
      <c r="BA152" s="345" t="str">
        <f>IF($O152="","",MCAin!$W168*$O152)</f>
        <v/>
      </c>
      <c r="BB152" s="345" t="str">
        <f>IF($P152="","",MCAin!$W168*$P152)</f>
        <v/>
      </c>
      <c r="BC152" s="345" t="str">
        <f>IF($Q152="","",MCAin!$W168*$Q152)</f>
        <v/>
      </c>
      <c r="BD152" s="345" t="str">
        <f>IF($R152="","",MCAin!$W168*$R152)</f>
        <v/>
      </c>
      <c r="BE152" s="347" t="str">
        <f>IF($S152="","",MCAin!$W168*$S152)</f>
        <v/>
      </c>
      <c r="BF152" s="463" t="str">
        <f>IF($N152="","",MCAin!$X168*$N152)</f>
        <v/>
      </c>
      <c r="BG152" s="345" t="str">
        <f>IF($O152="","",MCAin!$X168*$O152)</f>
        <v/>
      </c>
      <c r="BH152" s="345" t="str">
        <f>IF($P152="","",MCAin!$X168*$P152)</f>
        <v/>
      </c>
      <c r="BI152" s="345" t="str">
        <f>IF($Q152="","",MCAin!$X168*$Q152)</f>
        <v/>
      </c>
      <c r="BJ152" s="345" t="str">
        <f>IF($R152="","",MCAin!$X168*$R152)</f>
        <v/>
      </c>
      <c r="BK152" s="347" t="str">
        <f>IF($S152="","",MCAin!$X168*$S152)</f>
        <v/>
      </c>
      <c r="BL152" s="463" t="str">
        <f>IF($N152="","",MCAin!$Y168*$N152)</f>
        <v/>
      </c>
      <c r="BM152" s="345" t="str">
        <f>IF($O152="","",MCAin!$Y168*$O152)</f>
        <v/>
      </c>
      <c r="BN152" s="345" t="str">
        <f>IF($P152="","",MCAin!$Y168*$P152)</f>
        <v/>
      </c>
      <c r="BO152" s="345" t="str">
        <f>IF($Q152="","",MCAin!$Y168*$Q152)</f>
        <v/>
      </c>
      <c r="BP152" s="345" t="str">
        <f>IF($R152="","",MCAin!$Y168*$R152)</f>
        <v/>
      </c>
      <c r="BQ152" s="347" t="str">
        <f>IF($S152="","",MCAin!$Y168*$S152)</f>
        <v/>
      </c>
      <c r="BR152" s="315"/>
      <c r="BS152" s="315"/>
      <c r="BT152" s="315"/>
      <c r="BU152" s="315"/>
      <c r="BV152" s="315"/>
      <c r="BW152" s="315"/>
      <c r="BX152" s="315"/>
      <c r="BY152" s="315"/>
      <c r="BZ152" s="315"/>
    </row>
    <row r="153" spans="1:78" ht="15" customHeight="1">
      <c r="A153" s="332"/>
      <c r="B153" s="110" t="str">
        <f>PTAout!D189</f>
        <v>Energy</v>
      </c>
      <c r="C153" s="233"/>
      <c r="D153" s="234" t="str">
        <f>PTAout!H189</f>
        <v/>
      </c>
      <c r="E153" s="234" t="str">
        <f>PTAout!L189</f>
        <v/>
      </c>
      <c r="F153" s="234" t="str">
        <f>PTAout!Q189</f>
        <v/>
      </c>
      <c r="G153" s="234" t="str">
        <f>PTAout!V189</f>
        <v/>
      </c>
      <c r="H153" s="234" t="str">
        <f>PTAout!AA189</f>
        <v/>
      </c>
      <c r="I153" s="234" t="str">
        <f>PTAout!AF189</f>
        <v/>
      </c>
      <c r="J153" s="487" t="str">
        <f>IF(MCAin!O169="","",MCAin!O169)</f>
        <v/>
      </c>
      <c r="K153" s="487" t="str">
        <f>IF(MCAin!P169="","",MCAin!P169)</f>
        <v/>
      </c>
      <c r="L153" s="314"/>
      <c r="M153" s="343"/>
      <c r="N153" s="343" t="str">
        <f t="shared" si="40"/>
        <v/>
      </c>
      <c r="O153" s="343" t="str">
        <f t="shared" si="40"/>
        <v/>
      </c>
      <c r="P153" s="343" t="str">
        <f t="shared" si="40"/>
        <v/>
      </c>
      <c r="Q153" s="343" t="str">
        <f t="shared" si="40"/>
        <v/>
      </c>
      <c r="R153" s="343" t="str">
        <f t="shared" si="40"/>
        <v/>
      </c>
      <c r="S153" s="343" t="str">
        <f t="shared" si="40"/>
        <v/>
      </c>
      <c r="T153" s="343"/>
      <c r="U153" s="314"/>
      <c r="V153" s="463" t="str">
        <f>IF($N153="","",MCAin!$R169*$N153)</f>
        <v/>
      </c>
      <c r="W153" s="345" t="str">
        <f>IF($O153="","",MCAin!$R169*$O153)</f>
        <v/>
      </c>
      <c r="X153" s="345" t="str">
        <f>IF($P153="","",MCAin!$R169*$P153)</f>
        <v/>
      </c>
      <c r="Y153" s="345" t="str">
        <f>IF($Q153="","",MCAin!$R169*$Q153)</f>
        <v/>
      </c>
      <c r="Z153" s="345" t="str">
        <f>IF($R153="","",MCAin!$R169*$R153)</f>
        <v/>
      </c>
      <c r="AA153" s="347" t="str">
        <f>IF($S153="","",MCAin!$R169*$S153)</f>
        <v/>
      </c>
      <c r="AB153" s="463" t="str">
        <f>IF($N153="","",MCAin!$S169*$N153)</f>
        <v/>
      </c>
      <c r="AC153" s="345" t="str">
        <f>IF($O153="","",MCAin!$S169*$O153)</f>
        <v/>
      </c>
      <c r="AD153" s="345" t="str">
        <f>IF($P153="","",MCAin!$S169*$P153)</f>
        <v/>
      </c>
      <c r="AE153" s="345" t="str">
        <f>IF($Q153="","",MCAin!$R169*$Q153)</f>
        <v/>
      </c>
      <c r="AF153" s="345" t="str">
        <f>IF($R153="","",MCAin!$R169*$R153)</f>
        <v/>
      </c>
      <c r="AG153" s="347" t="str">
        <f>IF($S153="","",MCAin!$S169*$S153)</f>
        <v/>
      </c>
      <c r="AH153" s="463" t="str">
        <f>IF($N153="","",MCAin!$T169*$N153)</f>
        <v/>
      </c>
      <c r="AI153" s="345" t="str">
        <f>IF($O153="","",MCAin!$T169*$O153)</f>
        <v/>
      </c>
      <c r="AJ153" s="345" t="str">
        <f>IF($P153="","",MCAin!$T169*$P153)</f>
        <v/>
      </c>
      <c r="AK153" s="345" t="str">
        <f>IF($Q153="","",MCAin!$T169*$Q153)</f>
        <v/>
      </c>
      <c r="AL153" s="345" t="str">
        <f>IF($R153="","",MCAin!$R169*$R153)</f>
        <v/>
      </c>
      <c r="AM153" s="347" t="str">
        <f>IF($S153="","",MCAin!$S169*$S153)</f>
        <v/>
      </c>
      <c r="AN153" s="463" t="str">
        <f>IF($N153="","",MCAin!$U169*$N153)</f>
        <v/>
      </c>
      <c r="AO153" s="345" t="str">
        <f>IF($O153="","",MCAin!$U169*$O153)</f>
        <v/>
      </c>
      <c r="AP153" s="345" t="str">
        <f>IF($P153="","",MCAin!$U169*$P153)</f>
        <v/>
      </c>
      <c r="AQ153" s="345" t="str">
        <f>IF($Q153="","",MCAin!$U169*$Q153)</f>
        <v/>
      </c>
      <c r="AR153" s="345" t="str">
        <f>IF($R153="","",MCAin!$U169*$R153)</f>
        <v/>
      </c>
      <c r="AS153" s="347" t="str">
        <f>IF($S153="","",MCAin!$U169*$S153)</f>
        <v/>
      </c>
      <c r="AT153" s="463" t="str">
        <f>IF($N153="","",MCAin!$V169*$N153)</f>
        <v/>
      </c>
      <c r="AU153" s="345" t="str">
        <f>IF($O153="","",MCAin!$V169*$O153)</f>
        <v/>
      </c>
      <c r="AV153" s="345" t="str">
        <f>IF($P153="","",MCAin!$V169*$P153)</f>
        <v/>
      </c>
      <c r="AW153" s="345" t="str">
        <f>IF($Q153="","",MCAin!$V169*$Q153)</f>
        <v/>
      </c>
      <c r="AX153" s="345" t="str">
        <f>IF($R153="","",MCAin!$V169*$R153)</f>
        <v/>
      </c>
      <c r="AY153" s="347" t="str">
        <f>IF($S153="","",MCAin!$V169*$S153)</f>
        <v/>
      </c>
      <c r="AZ153" s="463" t="str">
        <f>IF($N153="","",MCAin!$W169*$N153)</f>
        <v/>
      </c>
      <c r="BA153" s="345" t="str">
        <f>IF($O153="","",MCAin!$W169*$O153)</f>
        <v/>
      </c>
      <c r="BB153" s="345" t="str">
        <f>IF($P153="","",MCAin!$W169*$P153)</f>
        <v/>
      </c>
      <c r="BC153" s="345" t="str">
        <f>IF($Q153="","",MCAin!$W169*$Q153)</f>
        <v/>
      </c>
      <c r="BD153" s="345" t="str">
        <f>IF($R153="","",MCAin!$W169*$R153)</f>
        <v/>
      </c>
      <c r="BE153" s="347" t="str">
        <f>IF($S153="","",MCAin!$W169*$S153)</f>
        <v/>
      </c>
      <c r="BF153" s="463" t="str">
        <f>IF($N153="","",MCAin!$X169*$N153)</f>
        <v/>
      </c>
      <c r="BG153" s="345" t="str">
        <f>IF($O153="","",MCAin!$X169*$O153)</f>
        <v/>
      </c>
      <c r="BH153" s="345" t="str">
        <f>IF($P153="","",MCAin!$X169*$P153)</f>
        <v/>
      </c>
      <c r="BI153" s="345" t="str">
        <f>IF($Q153="","",MCAin!$X169*$Q153)</f>
        <v/>
      </c>
      <c r="BJ153" s="345" t="str">
        <f>IF($R153="","",MCAin!$X169*$R153)</f>
        <v/>
      </c>
      <c r="BK153" s="347" t="str">
        <f>IF($S153="","",MCAin!$X169*$S153)</f>
        <v/>
      </c>
      <c r="BL153" s="463" t="str">
        <f>IF($N153="","",MCAin!$Y169*$N153)</f>
        <v/>
      </c>
      <c r="BM153" s="345" t="str">
        <f>IF($O153="","",MCAin!$Y169*$O153)</f>
        <v/>
      </c>
      <c r="BN153" s="345" t="str">
        <f>IF($P153="","",MCAin!$Y169*$P153)</f>
        <v/>
      </c>
      <c r="BO153" s="345" t="str">
        <f>IF($Q153="","",MCAin!$Y169*$Q153)</f>
        <v/>
      </c>
      <c r="BP153" s="345" t="str">
        <f>IF($R153="","",MCAin!$Y169*$R153)</f>
        <v/>
      </c>
      <c r="BQ153" s="347" t="str">
        <f>IF($S153="","",MCAin!$Y169*$S153)</f>
        <v/>
      </c>
      <c r="BR153" s="315"/>
      <c r="BS153" s="315"/>
      <c r="BT153" s="315"/>
      <c r="BU153" s="315"/>
      <c r="BV153" s="315"/>
      <c r="BW153" s="315"/>
      <c r="BX153" s="315"/>
      <c r="BY153" s="315"/>
      <c r="BZ153" s="315"/>
    </row>
    <row r="154" spans="1:78" ht="15" customHeight="1">
      <c r="A154" s="320"/>
      <c r="B154" s="118" t="str">
        <f>PTAout!D190</f>
        <v>Co2 emissions</v>
      </c>
      <c r="C154" s="324"/>
      <c r="D154" s="323" t="str">
        <f>PTAout!H190</f>
        <v/>
      </c>
      <c r="E154" s="323" t="str">
        <f>PTAout!L190</f>
        <v/>
      </c>
      <c r="F154" s="323" t="str">
        <f>PTAout!Q190</f>
        <v/>
      </c>
      <c r="G154" s="323" t="str">
        <f>PTAout!V190</f>
        <v/>
      </c>
      <c r="H154" s="323" t="str">
        <f>PTAout!AA190</f>
        <v/>
      </c>
      <c r="I154" s="323" t="str">
        <f>PTAout!AF190</f>
        <v/>
      </c>
      <c r="J154" s="489" t="str">
        <f>IF(MCAin!O170="","",MCAin!O170)</f>
        <v/>
      </c>
      <c r="K154" s="489" t="str">
        <f>IF(MCAin!P170="","",MCAin!P170)</f>
        <v/>
      </c>
      <c r="L154" s="314"/>
      <c r="M154" s="343"/>
      <c r="N154" s="492" t="str">
        <f t="shared" si="40"/>
        <v/>
      </c>
      <c r="O154" s="492" t="str">
        <f t="shared" si="40"/>
        <v/>
      </c>
      <c r="P154" s="492" t="str">
        <f t="shared" si="40"/>
        <v/>
      </c>
      <c r="Q154" s="492" t="str">
        <f t="shared" si="40"/>
        <v/>
      </c>
      <c r="R154" s="492" t="str">
        <f t="shared" si="40"/>
        <v/>
      </c>
      <c r="S154" s="492" t="str">
        <f t="shared" si="40"/>
        <v/>
      </c>
      <c r="T154" s="343"/>
      <c r="U154" s="314"/>
      <c r="V154" s="495" t="str">
        <f>IF($N154="","",MCAin!$R170*$N154)</f>
        <v/>
      </c>
      <c r="W154" s="496" t="str">
        <f>IF($O154="","",MCAin!$R170*$O154)</f>
        <v/>
      </c>
      <c r="X154" s="496" t="str">
        <f>IF($P154="","",MCAin!$R170*$P154)</f>
        <v/>
      </c>
      <c r="Y154" s="496" t="str">
        <f>IF($Q154="","",MCAin!$R170*$Q154)</f>
        <v/>
      </c>
      <c r="Z154" s="496" t="str">
        <f>IF($R154="","",MCAin!$R170*$R154)</f>
        <v/>
      </c>
      <c r="AA154" s="497" t="str">
        <f>IF($S154="","",MCAin!$R170*$S154)</f>
        <v/>
      </c>
      <c r="AB154" s="495" t="str">
        <f>IF($N154="","",MCAin!$S170*$N154)</f>
        <v/>
      </c>
      <c r="AC154" s="496" t="str">
        <f>IF($O154="","",MCAin!$S170*$O154)</f>
        <v/>
      </c>
      <c r="AD154" s="496" t="str">
        <f>IF($P154="","",MCAin!$S170*$P154)</f>
        <v/>
      </c>
      <c r="AE154" s="496" t="str">
        <f>IF($Q154="","",MCAin!$R170*$Q154)</f>
        <v/>
      </c>
      <c r="AF154" s="496" t="str">
        <f>IF($R154="","",MCAin!$R170*$R154)</f>
        <v/>
      </c>
      <c r="AG154" s="497" t="str">
        <f>IF($S154="","",MCAin!$S170*$S154)</f>
        <v/>
      </c>
      <c r="AH154" s="495" t="str">
        <f>IF($N154="","",MCAin!$T170*$N154)</f>
        <v/>
      </c>
      <c r="AI154" s="496" t="str">
        <f>IF($O154="","",MCAin!$T170*$O154)</f>
        <v/>
      </c>
      <c r="AJ154" s="496" t="str">
        <f>IF($P154="","",MCAin!$T170*$P154)</f>
        <v/>
      </c>
      <c r="AK154" s="496" t="str">
        <f>IF($Q154="","",MCAin!$T170*$Q154)</f>
        <v/>
      </c>
      <c r="AL154" s="496" t="str">
        <f>IF($R154="","",MCAin!$R170*$R154)</f>
        <v/>
      </c>
      <c r="AM154" s="497" t="str">
        <f>IF($S154="","",MCAin!$S170*$S154)</f>
        <v/>
      </c>
      <c r="AN154" s="495" t="str">
        <f>IF($N154="","",MCAin!$U170*$N154)</f>
        <v/>
      </c>
      <c r="AO154" s="496" t="str">
        <f>IF($O154="","",MCAin!$U170*$O154)</f>
        <v/>
      </c>
      <c r="AP154" s="496" t="str">
        <f>IF($P154="","",MCAin!$U170*$P154)</f>
        <v/>
      </c>
      <c r="AQ154" s="496" t="str">
        <f>IF($Q154="","",MCAin!$U170*$Q154)</f>
        <v/>
      </c>
      <c r="AR154" s="496" t="str">
        <f>IF($R154="","",MCAin!$U170*$R154)</f>
        <v/>
      </c>
      <c r="AS154" s="497" t="str">
        <f>IF($S154="","",MCAin!$U170*$S154)</f>
        <v/>
      </c>
      <c r="AT154" s="495" t="str">
        <f>IF($N154="","",MCAin!$V170*$N154)</f>
        <v/>
      </c>
      <c r="AU154" s="496" t="str">
        <f>IF($O154="","",MCAin!$V170*$O154)</f>
        <v/>
      </c>
      <c r="AV154" s="496" t="str">
        <f>IF($P154="","",MCAin!$V170*$P154)</f>
        <v/>
      </c>
      <c r="AW154" s="496" t="str">
        <f>IF($Q154="","",MCAin!$V170*$Q154)</f>
        <v/>
      </c>
      <c r="AX154" s="496" t="str">
        <f>IF($R154="","",MCAin!$V170*$R154)</f>
        <v/>
      </c>
      <c r="AY154" s="497" t="str">
        <f>IF($S154="","",MCAin!$V170*$S154)</f>
        <v/>
      </c>
      <c r="AZ154" s="495" t="str">
        <f>IF($N154="","",MCAin!$W170*$N154)</f>
        <v/>
      </c>
      <c r="BA154" s="496" t="str">
        <f>IF($O154="","",MCAin!$W170*$O154)</f>
        <v/>
      </c>
      <c r="BB154" s="496" t="str">
        <f>IF($P154="","",MCAin!$W170*$P154)</f>
        <v/>
      </c>
      <c r="BC154" s="496" t="str">
        <f>IF($Q154="","",MCAin!$W170*$Q154)</f>
        <v/>
      </c>
      <c r="BD154" s="496" t="str">
        <f>IF($R154="","",MCAin!$W170*$R154)</f>
        <v/>
      </c>
      <c r="BE154" s="497" t="str">
        <f>IF($S154="","",MCAin!$W170*$S154)</f>
        <v/>
      </c>
      <c r="BF154" s="495" t="str">
        <f>IF($N154="","",MCAin!$X170*$N154)</f>
        <v/>
      </c>
      <c r="BG154" s="496" t="str">
        <f>IF($O154="","",MCAin!$X170*$O154)</f>
        <v/>
      </c>
      <c r="BH154" s="496" t="str">
        <f>IF($P154="","",MCAin!$X170*$P154)</f>
        <v/>
      </c>
      <c r="BI154" s="496" t="str">
        <f>IF($Q154="","",MCAin!$X170*$Q154)</f>
        <v/>
      </c>
      <c r="BJ154" s="496" t="str">
        <f>IF($R154="","",MCAin!$X170*$R154)</f>
        <v/>
      </c>
      <c r="BK154" s="497" t="str">
        <f>IF($S154="","",MCAin!$X170*$S154)</f>
        <v/>
      </c>
      <c r="BL154" s="495" t="str">
        <f>IF($N154="","",MCAin!$Y170*$N154)</f>
        <v/>
      </c>
      <c r="BM154" s="496" t="str">
        <f>IF($O154="","",MCAin!$Y170*$O154)</f>
        <v/>
      </c>
      <c r="BN154" s="496" t="str">
        <f>IF($P154="","",MCAin!$Y170*$P154)</f>
        <v/>
      </c>
      <c r="BO154" s="496" t="str">
        <f>IF($Q154="","",MCAin!$Y170*$Q154)</f>
        <v/>
      </c>
      <c r="BP154" s="496" t="str">
        <f>IF($R154="","",MCAin!$Y170*$R154)</f>
        <v/>
      </c>
      <c r="BQ154" s="497" t="str">
        <f>IF($S154="","",MCAin!$Y170*$S154)</f>
        <v/>
      </c>
      <c r="BR154" s="315"/>
      <c r="BS154" s="315"/>
      <c r="BT154" s="315"/>
      <c r="BU154" s="315"/>
      <c r="BV154" s="315"/>
      <c r="BW154" s="315"/>
      <c r="BX154" s="315"/>
      <c r="BY154" s="315"/>
      <c r="BZ154" s="315"/>
    </row>
    <row r="155" spans="1:78" ht="15" customHeight="1">
      <c r="A155" s="340"/>
      <c r="B155" s="110"/>
      <c r="C155" s="233"/>
      <c r="D155" s="314"/>
      <c r="E155" s="314"/>
      <c r="F155" s="314"/>
      <c r="G155" s="314"/>
      <c r="H155" s="314"/>
      <c r="I155" s="314"/>
      <c r="J155" s="314"/>
      <c r="K155" s="314"/>
      <c r="V155" s="428"/>
      <c r="AA155" s="346"/>
      <c r="AB155" s="428"/>
      <c r="AG155" s="346"/>
      <c r="AH155" s="428"/>
      <c r="AM155" s="346"/>
      <c r="AN155" s="428"/>
      <c r="AS155" s="346"/>
      <c r="AT155" s="428"/>
      <c r="AY155" s="346"/>
      <c r="AZ155" s="428"/>
      <c r="BE155" s="346"/>
      <c r="BF155" s="428"/>
      <c r="BK155" s="346"/>
      <c r="BL155" s="428"/>
      <c r="BQ155" s="346"/>
      <c r="BR155" s="315"/>
      <c r="BS155" s="315"/>
      <c r="BT155" s="315"/>
      <c r="BU155" s="315"/>
      <c r="BV155" s="315"/>
      <c r="BW155" s="315"/>
      <c r="BX155" s="315"/>
      <c r="BY155" s="315"/>
      <c r="BZ155" s="315"/>
    </row>
    <row r="156" spans="1:78" ht="15" customHeight="1">
      <c r="A156" s="340"/>
      <c r="B156" s="110"/>
      <c r="C156" s="233"/>
      <c r="D156" s="314"/>
      <c r="E156" s="314"/>
      <c r="F156" s="314"/>
      <c r="G156" s="314"/>
      <c r="H156" s="314"/>
      <c r="I156" s="314"/>
      <c r="J156" s="314"/>
      <c r="K156" s="314"/>
      <c r="U156" s="333" t="s">
        <v>328</v>
      </c>
      <c r="V156" s="464">
        <f>IF(SUM(MCAin!R21:R170)=0,1,"")</f>
        <v>1</v>
      </c>
      <c r="W156" s="344"/>
      <c r="X156" s="344"/>
      <c r="Y156" s="344"/>
      <c r="Z156" s="344"/>
      <c r="AA156" s="348"/>
      <c r="AB156" s="464">
        <f>IF(SUM(MCAin!S21:S170)=0,1,"")</f>
        <v>1</v>
      </c>
      <c r="AC156" s="344"/>
      <c r="AD156" s="344"/>
      <c r="AE156" s="344"/>
      <c r="AF156" s="344"/>
      <c r="AG156" s="348"/>
      <c r="AH156" s="464">
        <f>IF(SUM(MCAin!T21:T170)=0,1,"")</f>
        <v>1</v>
      </c>
      <c r="AI156" s="344"/>
      <c r="AJ156" s="344"/>
      <c r="AK156" s="344"/>
      <c r="AL156" s="344"/>
      <c r="AM156" s="348"/>
      <c r="AN156" s="464">
        <f>IF(SUM(MCAin!U21:U170)=0,1,"")</f>
        <v>1</v>
      </c>
      <c r="AO156" s="344"/>
      <c r="AP156" s="344"/>
      <c r="AQ156" s="344"/>
      <c r="AR156" s="344"/>
      <c r="AS156" s="348"/>
      <c r="AT156" s="464">
        <f>IF(SUM(MCAin!V21:V170)=0,1,"")</f>
        <v>1</v>
      </c>
      <c r="AU156" s="344"/>
      <c r="AV156" s="344"/>
      <c r="AW156" s="344"/>
      <c r="AX156" s="344"/>
      <c r="AY156" s="348"/>
      <c r="AZ156" s="464">
        <f>IF(SUM(MCAin!W21:W170)=0,1,"")</f>
        <v>1</v>
      </c>
      <c r="BA156" s="344"/>
      <c r="BB156" s="344"/>
      <c r="BC156" s="344"/>
      <c r="BD156" s="344"/>
      <c r="BE156" s="348"/>
      <c r="BF156" s="464">
        <f>IF(SUM(MCAin!X21:X170)=0,1,"")</f>
        <v>1</v>
      </c>
      <c r="BG156" s="344"/>
      <c r="BH156" s="344"/>
      <c r="BI156" s="344"/>
      <c r="BJ156" s="344"/>
      <c r="BK156" s="348"/>
      <c r="BL156" s="464">
        <f>IF(SUM(MCAin!Y21:Y170)=0,1,"")</f>
        <v>1</v>
      </c>
      <c r="BM156" s="344"/>
      <c r="BN156" s="344"/>
      <c r="BO156" s="344"/>
      <c r="BP156" s="344"/>
      <c r="BQ156" s="348"/>
      <c r="BR156" s="315"/>
      <c r="BS156" s="315"/>
      <c r="BT156" s="315"/>
      <c r="BU156" s="315"/>
      <c r="BV156" s="315"/>
      <c r="BW156" s="315"/>
      <c r="BX156" s="315"/>
      <c r="BY156" s="315"/>
      <c r="BZ156" s="315"/>
    </row>
    <row r="157" spans="1:78" ht="15" customHeight="1">
      <c r="A157" s="340"/>
      <c r="B157" s="110"/>
      <c r="C157" s="233"/>
      <c r="D157" s="314"/>
      <c r="E157" s="314"/>
      <c r="F157" s="314"/>
      <c r="G157" s="314"/>
      <c r="H157" s="314"/>
      <c r="I157" s="314"/>
      <c r="J157" s="314"/>
      <c r="K157" s="314"/>
      <c r="V157" s="428"/>
      <c r="AA157" s="346"/>
      <c r="AB157" s="428"/>
      <c r="AG157" s="346"/>
      <c r="AH157" s="428"/>
      <c r="AM157" s="346"/>
      <c r="AN157" s="428"/>
      <c r="AS157" s="346"/>
      <c r="AT157" s="428"/>
      <c r="AY157" s="346"/>
      <c r="AZ157" s="428"/>
      <c r="BE157" s="346"/>
      <c r="BF157" s="428"/>
      <c r="BK157" s="346"/>
      <c r="BL157" s="428"/>
      <c r="BQ157" s="346"/>
      <c r="BR157" s="315"/>
      <c r="BS157" s="315"/>
      <c r="BT157" s="315"/>
      <c r="BU157" s="315"/>
      <c r="BV157" s="315"/>
      <c r="BW157" s="315"/>
      <c r="BX157" s="315"/>
      <c r="BY157" s="315"/>
      <c r="BZ157" s="315"/>
    </row>
    <row r="158" spans="1:78" ht="15" customHeight="1">
      <c r="A158" s="340"/>
      <c r="B158" s="511" t="s">
        <v>405</v>
      </c>
      <c r="C158" s="522"/>
      <c r="V158" s="462" t="s">
        <v>182</v>
      </c>
      <c r="W158" s="342"/>
      <c r="AA158" s="346"/>
      <c r="AB158" s="462" t="s">
        <v>182</v>
      </c>
      <c r="AC158" s="342"/>
      <c r="AG158" s="346"/>
      <c r="AH158" s="462" t="s">
        <v>182</v>
      </c>
      <c r="AI158" s="342"/>
      <c r="AM158" s="346"/>
      <c r="AN158" s="462" t="s">
        <v>182</v>
      </c>
      <c r="AO158" s="342"/>
      <c r="AS158" s="346"/>
      <c r="AT158" s="462" t="s">
        <v>182</v>
      </c>
      <c r="AU158" s="342"/>
      <c r="AY158" s="346"/>
      <c r="AZ158" s="462" t="s">
        <v>182</v>
      </c>
      <c r="BA158" s="342"/>
      <c r="BE158" s="346"/>
      <c r="BF158" s="462" t="s">
        <v>182</v>
      </c>
      <c r="BG158" s="342"/>
      <c r="BK158" s="346"/>
      <c r="BL158" s="462" t="s">
        <v>182</v>
      </c>
      <c r="BM158" s="342"/>
      <c r="BQ158" s="346"/>
      <c r="BR158" s="315"/>
      <c r="BS158" s="315"/>
      <c r="BT158" s="315"/>
      <c r="BU158" s="315"/>
      <c r="BV158" s="315"/>
      <c r="BW158" s="315"/>
      <c r="BX158" s="315"/>
      <c r="BY158" s="315"/>
      <c r="BZ158" s="315"/>
    </row>
    <row r="159" spans="1:78" ht="15" customHeight="1">
      <c r="A159" s="340"/>
      <c r="B159" s="110" t="s">
        <v>323</v>
      </c>
      <c r="C159" s="970">
        <f>IF(COUNTIF(N5:S6,"&gt;=0")=0,1,"")</f>
        <v>1</v>
      </c>
      <c r="U159" s="110" t="s">
        <v>323</v>
      </c>
      <c r="V159" s="465" t="str">
        <f>IF(OR(V156=1,$C159=1,code0="",SUM(MCAin!$R$21:$R$22)=0),"",SUM(V5:V6)/SUM(MCAin!$R$21:$R$22))</f>
        <v/>
      </c>
      <c r="W159" s="343" t="str">
        <f>IF(OR(V156=1,$C159=1,code1="",SUM(MCAin!$R$21:$R$22)=0),"",SUM(W5:W6)/SUM(MCAin!$R$21:$R$22))</f>
        <v/>
      </c>
      <c r="X159" s="343" t="str">
        <f>IF(OR(V156=1,$C159=1,code2="",SUM(MCAin!$R$21:$R$22)=0),"",SUM(X5:X6)/SUM(MCAin!$R$21:$R$22))</f>
        <v/>
      </c>
      <c r="Y159" s="343" t="str">
        <f>IF(OR(V156=1,$C159=1,code3="",SUM(MCAin!$R$21:$R$22)=0),"",SUM(Y5:Y6)/SUM(MCAin!$R$21:$R$22))</f>
        <v/>
      </c>
      <c r="Z159" s="343" t="str">
        <f>IF(OR(V156=1,$C159=1,code4="",SUM(MCAin!$R$21:$R$22)=0),"",SUM(Z5:Z6)/SUM(MCAin!$R$21:$R$22))</f>
        <v/>
      </c>
      <c r="AA159" s="350" t="str">
        <f>IF(OR(V156=1,$C159=1,code5="",SUM(MCAin!$R$21:$R$22)=0),"",SUM(AA5:AA6)/SUM(MCAin!$R$21:$R$22))</f>
        <v/>
      </c>
      <c r="AB159" s="465" t="str">
        <f>IF(OR(AB156=1,$C159=1,code0="",SUM(MCAin!$S$21:$S$22)=0),"",SUM(AB5:AB6)/SUM(MCAin!$S$21:$S$22))</f>
        <v/>
      </c>
      <c r="AC159" s="343" t="str">
        <f>IF(OR(AB156=1,$C159=1,code1="",SUM(MCAin!$S$21:$S$22)=0),"",SUM(AC5:AC6)/SUM(MCAin!$S$21:$S$22))</f>
        <v/>
      </c>
      <c r="AD159" s="343" t="str">
        <f>IF(OR(AB156=1,$C159=1,code2="",SUM(MCAin!$S$21:$S$22)=0),"",SUM(AD5:AD6)/SUM(MCAin!$S$21:$S$22))</f>
        <v/>
      </c>
      <c r="AE159" s="343" t="str">
        <f>IF(OR(AB156=1,$C159=1,code3="",SUM(MCAin!$S$21:$S$22)=0),"",SUM(AE5:AE6)/SUM(MCAin!$S$21:$S$22))</f>
        <v/>
      </c>
      <c r="AF159" s="343" t="str">
        <f>IF(OR(AB156=1,$C159=1,code4="",SUM(MCAin!$S$21:$S$22)=0),"",SUM(AF5:AF6)/SUM(MCAin!$S$21:$S$22))</f>
        <v/>
      </c>
      <c r="AG159" s="350" t="str">
        <f>IF(OR(AB156=1,$C159=1,code5="",SUM(MCAin!$S$21:$S$22)=0),"",SUM(AG5:AG6)/SUM(MCAin!$S$21:$S$22))</f>
        <v/>
      </c>
      <c r="AH159" s="465" t="str">
        <f>IF(OR(AH156=1,$C159=1,code0="",SUM(MCAin!$T$21:$T$22)=0),"",SUM(AH5:AH6)/SUM(MCAin!$T$21:$T$22))</f>
        <v/>
      </c>
      <c r="AI159" s="343" t="str">
        <f>IF(OR(AH156=1,$C159=1,code1="",SUM(MCAin!$T$21:$T$22)=0),"",SUM(AI5:AI6)/SUM(MCAin!$T$21:$T$22))</f>
        <v/>
      </c>
      <c r="AJ159" s="343" t="str">
        <f>IF(OR(AH156=1,$C159=1,code2="",SUM(MCAin!$T$21:$T$22)=0),"",SUM(AJ5:AJ6)/SUM(MCAin!$T$21:$T$22))</f>
        <v/>
      </c>
      <c r="AK159" s="343" t="str">
        <f>IF(OR(AH156=1,$C159=1,code3="",SUM(MCAin!$T$21:$T$22)=0),"",SUM(AK5:AK6)/SUM(MCAin!$T$21:$T$22))</f>
        <v/>
      </c>
      <c r="AL159" s="343" t="str">
        <f>IF(OR(AH156=1,$C159=1,code4="",SUM(MCAin!$T$21:$T$22)=0),"",SUM(AL5:AL6)/SUM(MCAin!$T$21:$T$22))</f>
        <v/>
      </c>
      <c r="AM159" s="350" t="str">
        <f>IF(OR(AH156=1,$C159=1,code5="",SUM(MCAin!$T$21:$T$22)=0),"",SUM(AM5:AM6)/SUM(MCAin!$T$21:$T$22))</f>
        <v/>
      </c>
      <c r="AN159" s="465" t="str">
        <f>IF(OR(AN156=1,$C159=1,code0="",SUM(MCAin!$U$21:$U$22)=0),"",SUM(AN5:AN6)/SUM(MCAin!$U$21:$U$22))</f>
        <v/>
      </c>
      <c r="AO159" s="343" t="str">
        <f>IF(OR(AN156=1,$C159=1,code1="",SUM(MCAin!$U$21:$U$22)=0),"",SUM(AO5:AO6)/SUM(MCAin!$U$21:$U$22))</f>
        <v/>
      </c>
      <c r="AP159" s="343" t="str">
        <f>IF(OR(AN156=1,$C159=1,code2="",SUM(MCAin!$U$21:$U$22)=0),"",SUM(AP5:AP6)/SUM(MCAin!$U$21:$U$22))</f>
        <v/>
      </c>
      <c r="AQ159" s="343" t="str">
        <f>IF(OR(AN156=1,$C159=1,code3="",SUM(MCAin!$U$21:$U$22)=0),"",SUM(AQ5:AQ6)/SUM(MCAin!$U$21:$U$22))</f>
        <v/>
      </c>
      <c r="AR159" s="343" t="str">
        <f>IF(OR(AN156=1,$C159=1,code4="",SUM(MCAin!$U$21:$U$22)=0),"",SUM(AR5:AR6)/SUM(MCAin!$U$21:$U$22))</f>
        <v/>
      </c>
      <c r="AS159" s="350" t="str">
        <f>IF(OR(AN156=1,$C159=1,code5="",SUM(MCAin!$U$21:$U$22)=0),"",SUM(AS5:AS6)/SUM(MCAin!$U$21:$U$22))</f>
        <v/>
      </c>
      <c r="AT159" s="465" t="str">
        <f>IF(OR(AT156=1,$C159=1,code0="",SUM(MCAin!$V$21:$V$22)=0),"",SUM(AT5:AT6)/SUM(MCAin!$V$21:$V$22))</f>
        <v/>
      </c>
      <c r="AU159" s="343" t="str">
        <f>IF(OR(AT156=1,$C159=1,code1="",SUM(MCAin!$V$21:$V$22)=0),"",SUM(AU5:AU6)/SUM(MCAin!$V$21:$V$22))</f>
        <v/>
      </c>
      <c r="AV159" s="343" t="str">
        <f>IF(OR(AT156=1,$C159=1,code2="",SUM(MCAin!$V$21:$V$22)=0),"",SUM(AV5:AV6)/SUM(MCAin!$V$21:$V$22))</f>
        <v/>
      </c>
      <c r="AW159" s="343" t="str">
        <f>IF(OR(AT156=1,$C159=1,code3="",SUM(MCAin!$V$21:$V$22)=0),"",SUM(AW5:AW6)/SUM(MCAin!$V$21:$V$22))</f>
        <v/>
      </c>
      <c r="AX159" s="343" t="str">
        <f>IF(OR(AT156=1,$C159=1,code4="",SUM(MCAin!$V$21:$V$22)=0),"",SUM(AX5:AX6)/SUM(MCAin!$V$21:$V$22))</f>
        <v/>
      </c>
      <c r="AY159" s="350" t="str">
        <f>IF(OR(AT156=1,$C159=1,code5="",SUM(MCAin!$V$21:$V$22)=0),"",SUM(AY5:AY6)/SUM(MCAin!$V$21:$V$22))</f>
        <v/>
      </c>
      <c r="AZ159" s="465" t="str">
        <f>IF(OR(AZ156=1,$C159=1,code0="",SUM(MCAin!$W$21:$W$22)=0),"",SUM(AZ5:AZ6)/SUM(MCAin!$W$21:$W$22))</f>
        <v/>
      </c>
      <c r="BA159" s="343" t="str">
        <f>IF(OR(AZ156=1,$C159=1,code1="",SUM(MCAin!$W$21:$W$22)=0),"",SUM(BA5:BA6)/SUM(MCAin!$W$21:$W$22))</f>
        <v/>
      </c>
      <c r="BB159" s="343" t="str">
        <f>IF(OR(AZ156=1,$C159=1,code2="",SUM(MCAin!$W$21:$W$22)=0),"",SUM(BB5:BB6)/SUM(MCAin!$W$21:$W$22))</f>
        <v/>
      </c>
      <c r="BC159" s="343" t="str">
        <f>IF(OR(AZ156=1,$C159=1,code3="",SUM(MCAin!$W$21:$W$22)=0),"",SUM(BC5:BC6)/SUM(MCAin!$W$21:$W$22))</f>
        <v/>
      </c>
      <c r="BD159" s="343" t="str">
        <f>IF(OR(AZ156=1,$C159=1,code4="",SUM(MCAin!$W$21:$W$22)=0),"",SUM(BD5:BD6)/SUM(MCAin!$W$21:$W$22))</f>
        <v/>
      </c>
      <c r="BE159" s="350" t="str">
        <f>IF(OR(AZ156=1,$C159=1,code5="",SUM(MCAin!$W$21:$W$22)=0),"",SUM(BE5:BE6)/SUM(MCAin!$W$21:$W$22))</f>
        <v/>
      </c>
      <c r="BF159" s="465" t="str">
        <f>IF(OR(BF156=1,$C159=1,code0="",SUM(MCAin!$X$21:$X$22)=0),"",SUM(BF5:BF6)/SUM(MCAin!$X$21:$X$22))</f>
        <v/>
      </c>
      <c r="BG159" s="343" t="str">
        <f>IF(OR(BF156=1,$C159=1,code1="",SUM(MCAin!$X$21:$X$22)=0),"",SUM(BG5:BG6)/SUM(MCAin!$X$21:$X$22))</f>
        <v/>
      </c>
      <c r="BH159" s="343" t="str">
        <f>IF(OR(BF156=1,$C159=1,code2="",SUM(MCAin!$X$21:$X$22)=0),"",SUM(BH5:BH6)/SUM(MCAin!$X$21:$X$22))</f>
        <v/>
      </c>
      <c r="BI159" s="343" t="str">
        <f>IF(OR(BF156=1,$C159=1,code3="",SUM(MCAin!$X$21:$X$22)=0),"",SUM(BI5:BI6)/SUM(MCAin!$X$21:$X$22))</f>
        <v/>
      </c>
      <c r="BJ159" s="343" t="str">
        <f>IF(OR(BF156=1,$C159=1,code4="",SUM(MCAin!$X$21:$X$22)=0),"",SUM(BJ5:BJ6)/SUM(MCAin!$X$21:$X$22))</f>
        <v/>
      </c>
      <c r="BK159" s="350" t="str">
        <f>IF(OR(BF156=1,$C159=1,code5="",SUM(MCAin!$X$21:$X$22)=0),"",SUM(BK5:BK6)/SUM(MCAin!$X$21:$X$22))</f>
        <v/>
      </c>
      <c r="BL159" s="465" t="str">
        <f>IF(OR(BL156=1,$C159=1,code0="",SUM(MCAin!$Y$21:$Y$22)=0),"",SUM(BL5:BL6)/SUM(MCAin!$Y$21:$Y$22))</f>
        <v/>
      </c>
      <c r="BM159" s="343" t="str">
        <f>IF(OR(BL156=1,$C159=1,code1="",SUM(MCAin!$Y$21:$Y$22)=0),"",SUM(BM5:BM6)/SUM(MCAin!$Y$21:$Y$22))</f>
        <v/>
      </c>
      <c r="BN159" s="343" t="str">
        <f>IF(OR(BL156=1,$C159=1,code2="",SUM(MCAin!$Y$21:$Y$22)=0),"",SUM(BN5:BN6)/SUM(MCAin!$Y$21:$Y$22))</f>
        <v/>
      </c>
      <c r="BO159" s="343" t="str">
        <f>IF(OR(BL156=1,$C159=1,code3="",SUM(MCAin!$Y$21:$Y$22)=0),"",SUM(BO5:BO6)/SUM(MCAin!$Y$21:$Y$22))</f>
        <v/>
      </c>
      <c r="BP159" s="343" t="str">
        <f>IF(OR(BL156=1,$C159=1,code4="",SUM(MCAin!$Y$21:$Y$22)=0),"",SUM(BP5:BP6)/SUM(MCAin!$Y$21:$Y$22))</f>
        <v/>
      </c>
      <c r="BQ159" s="350" t="str">
        <f>IF(OR(BL156=1,$C159=1,code5="",SUM(MCAin!$Y$21:$Y$22)=0),"",SUM(BQ5:BQ6)/SUM(MCAin!$Y$21:$Y$22))</f>
        <v/>
      </c>
      <c r="BR159" s="315"/>
      <c r="BS159" s="315"/>
      <c r="BT159" s="315"/>
      <c r="BU159" s="315"/>
      <c r="BV159" s="315"/>
      <c r="BW159" s="315"/>
      <c r="BX159" s="315"/>
      <c r="BY159" s="315"/>
      <c r="BZ159" s="315"/>
    </row>
    <row r="160" spans="1:78" ht="15" customHeight="1">
      <c r="B160" s="110" t="s">
        <v>324</v>
      </c>
      <c r="C160" s="970">
        <f>IF(COUNTIF(N10:S64,"&gt;=0")=0,1,"")</f>
        <v>1</v>
      </c>
      <c r="U160" s="110" t="s">
        <v>324</v>
      </c>
      <c r="V160" s="465" t="str">
        <f>IF(OR(V156=1,$C160=1,code0="",SUM(MCAin!$R$26:$R$80)=0),"",SUM(V10:V64)/SUM(MCAin!$R$26:$R$80))</f>
        <v/>
      </c>
      <c r="W160" s="343" t="str">
        <f>IF(OR(V156=1,$C160=1,code1="",SUM(MCAin!$R$26:$R$80)=0),"",SUM(W10:W64)/SUM(MCAin!$R$26:$R$80))</f>
        <v/>
      </c>
      <c r="X160" s="343" t="str">
        <f>IF(OR(V156=1,$C160=1,code2="",SUM(MCAin!$R$26:$R$80)=0),"",SUM(X10:X64)/SUM(MCAin!$R$26:$R$80))</f>
        <v/>
      </c>
      <c r="Y160" s="343" t="str">
        <f>IF(OR(V156=1,$C160=1,code3="",SUM(MCAin!$R$26:$R$80)=0),"",SUM(Y10:Y64)/SUM(MCAin!$R$26:$R$80))</f>
        <v/>
      </c>
      <c r="Z160" s="343" t="str">
        <f>IF(OR(V156=1,$C160=1,code4="",SUM(MCAin!$R$26:$R$80)=0),"",SUM(Z10:Z64)/SUM(MCAin!$R$26:$R$80))</f>
        <v/>
      </c>
      <c r="AA160" s="350" t="str">
        <f>IF(OR(V156=1,$C160=1,code5="",SUM(MCAin!$R$26:$R$80)=0),"",SUM(AA10:AA64)/SUM(MCAin!$R$26:$R$80))</f>
        <v/>
      </c>
      <c r="AB160" s="465" t="str">
        <f>IF(OR(AB156=1,$C160=1,code0="",SUM(MCAin!$S$26:$S$80)=0),"",SUM(AB10:AB64)/SUM(MCAin!$S$26:$S$80))</f>
        <v/>
      </c>
      <c r="AC160" s="343" t="str">
        <f>IF(OR(AB156=1,$C160=1,code1="",SUM(MCAin!$S$26:$S$80)=0),"",SUM(AC10:AC64)/SUM(MCAin!$S$26:$S$80))</f>
        <v/>
      </c>
      <c r="AD160" s="343" t="str">
        <f>IF(OR(AB156=1,$C160=1,code2="",SUM(MCAin!$S$26:$S$80)=0),"",SUM(AD10:AD64)/SUM(MCAin!$S$26:$S$80))</f>
        <v/>
      </c>
      <c r="AE160" s="343" t="str">
        <f>IF(OR(AB156=1,$C160=1,code3="",SUM(MCAin!$S$26:$S$80)=0),"",SUM(AE10:AE64)/SUM(MCAin!$S$26:$S$80))</f>
        <v/>
      </c>
      <c r="AF160" s="343" t="str">
        <f>IF(OR(AB156=1,$C160=1,code4="",SUM(MCAin!$S$26:$S$80)=0),"",SUM(AF10:AF64)/SUM(MCAin!$S$26:$S$80))</f>
        <v/>
      </c>
      <c r="AG160" s="350" t="str">
        <f>IF(OR(AB156=1,$C160=1,code5="",SUM(MCAin!$S$26:$S$80)=0),"",SUM(AG10:AG64)/SUM(MCAin!$S$26:$S$80))</f>
        <v/>
      </c>
      <c r="AH160" s="465" t="str">
        <f>IF(OR(AH156=1,$C160=1,code0="",SUM(MCAin!$T$26:$T$80)=0),"",SUM(AH10:AH64)/SUM(MCAin!$T$26:$T$80))</f>
        <v/>
      </c>
      <c r="AI160" s="343" t="str">
        <f>IF(OR(AH156=1,$C160=1,code1="",SUM(MCAin!$T$26:$T$80)=0),"",SUM(AI10:AI64)/SUM(MCAin!$T$26:$T$80))</f>
        <v/>
      </c>
      <c r="AJ160" s="343" t="str">
        <f>IF(OR(AH156=1,$C160=1,code2="",SUM(MCAin!$T$26:$T$80)=0),"",SUM(AJ10:AJ64)/SUM(MCAin!$T$26:$T$80))</f>
        <v/>
      </c>
      <c r="AK160" s="343" t="str">
        <f>IF(OR(AH156=1,$C160=1,code3="",SUM(MCAin!$T$26:$T$80)=0),"",SUM(AK10:AK64)/SUM(MCAin!$T$26:$T$80))</f>
        <v/>
      </c>
      <c r="AL160" s="343" t="str">
        <f>IF(OR(AH156=1,$C160=1,code4="",SUM(MCAin!$T$26:$T$80)=0),"",SUM(AL10:AL64)/SUM(MCAin!$T$26:$T$80))</f>
        <v/>
      </c>
      <c r="AM160" s="350" t="str">
        <f>IF(OR(AH156=1,$C160=1,code5="",SUM(MCAin!$T$26:$T$80)=0),"",SUM(AM10:AM64)/SUM(MCAin!$T$26:$T$80))</f>
        <v/>
      </c>
      <c r="AN160" s="465" t="str">
        <f>IF(OR(AN156=1,$C160=1,code0="",SUM(MCAin!$U$26:$U$80)=0),"",SUM(AN10:AN64)/SUM(MCAin!$U$26:$U$80))</f>
        <v/>
      </c>
      <c r="AO160" s="343" t="str">
        <f>IF(OR(AN156=1,$C160=1,code1="",SUM(MCAin!$U$26:$U$80)=0),"",SUM(AO10:AO64)/SUM(MCAin!$U$26:$U$80))</f>
        <v/>
      </c>
      <c r="AP160" s="343" t="str">
        <f>IF(OR(AN156=1,$C160=1,code2="",SUM(MCAin!$U$26:$U$80)=0),"",SUM(AP10:AP64)/SUM(MCAin!$U$26:$U$80))</f>
        <v/>
      </c>
      <c r="AQ160" s="343" t="str">
        <f>IF(OR(AN156=1,$C160=1,code3="",SUM(MCAin!$U$26:$U$80)=0),"",SUM(AQ10:AQ64)/SUM(MCAin!$U$26:$U$80))</f>
        <v/>
      </c>
      <c r="AR160" s="343" t="str">
        <f>IF(OR(AN156=1,$C160=1,code4="",SUM(MCAin!$U$26:$U$80)=0),"",SUM(AR10:AR64)/SUM(MCAin!$U$26:$U$80))</f>
        <v/>
      </c>
      <c r="AS160" s="350" t="str">
        <f>IF(OR(AN156=1,$C160=1,code5="",SUM(MCAin!$U$26:$U$80)=0),"",SUM(AS10:AS64)/SUM(MCAin!$U$26:$U$80))</f>
        <v/>
      </c>
      <c r="AT160" s="465" t="str">
        <f>IF(OR(AT156=1,$C160=1,code0="",SUM(MCAin!$V$26:$V$80)=0),"",SUM(AT10:AT64)/SUM(MCAin!$V$26:$V$80))</f>
        <v/>
      </c>
      <c r="AU160" s="343" t="str">
        <f>IF(OR(AT156=1,$C160=1,code1="",SUM(MCAin!$V$26:$V$80)=0),"",SUM(AU10:AU64)/SUM(MCAin!$V$26:$V$80))</f>
        <v/>
      </c>
      <c r="AV160" s="343" t="str">
        <f>IF(OR(AT156=1,$C160=1,code2="",SUM(MCAin!$V$26:$V$80)=0),"",SUM(AV10:AV64)/SUM(MCAin!$V$26:$V$80))</f>
        <v/>
      </c>
      <c r="AW160" s="343" t="str">
        <f>IF(OR(AT156=1,$C160=1,code3="",SUM(MCAin!$V$26:$V$80)=0),"",SUM(AW10:AW64)/SUM(MCAin!$V$26:$V$80))</f>
        <v/>
      </c>
      <c r="AX160" s="343" t="str">
        <f>IF(OR(AT156=1,$C160=1,code4="",SUM(MCAin!$V$26:$V$80)=0),"",SUM(AX10:AX64)/SUM(MCAin!$V$26:$V$80))</f>
        <v/>
      </c>
      <c r="AY160" s="350" t="str">
        <f>IF(OR(AT156=1,$C160=1,code5="",SUM(MCAin!$V$26:$V$80)=0),"",SUM(AY10:AY64)/SUM(MCAin!$V$26:$V$80))</f>
        <v/>
      </c>
      <c r="AZ160" s="465" t="str">
        <f>IF(OR(AZ156=1,$C160=1,code0="",SUM(MCAin!$W$26:$W$80)=0),"",SUM(AZ10:AZ64)/SUM(MCAin!$W$26:$W$80))</f>
        <v/>
      </c>
      <c r="BA160" s="343" t="str">
        <f>IF(OR(AZ156=1,$C160=1,code1="",SUM(MCAin!$W$26:$W$80)=0),"",SUM(BA10:BA64)/SUM(MCAin!$W$26:$W$80))</f>
        <v/>
      </c>
      <c r="BB160" s="343" t="str">
        <f>IF(OR(AZ156=1,$C160=1,code2="",SUM(MCAin!$W$26:$W$80)=0),"",SUM(BB10:BB64)/SUM(MCAin!$W$26:$W$80))</f>
        <v/>
      </c>
      <c r="BC160" s="343" t="str">
        <f>IF(OR(AZ156=1,$C160=1,code3="",SUM(MCAin!$W$26:$W$80)=0),"",SUM(BC10:BC64)/SUM(MCAin!$W$26:$W$80))</f>
        <v/>
      </c>
      <c r="BD160" s="343" t="str">
        <f>IF(OR(AZ156=1,$C160=1,code4="",SUM(MCAin!$W$26:$W$80)=0),"",SUM(BD10:BD64)/SUM(MCAin!$W$26:$W$80))</f>
        <v/>
      </c>
      <c r="BE160" s="350" t="str">
        <f>IF(OR(AZ156=1,$C160=1,code5="",SUM(MCAin!$W$26:$W$80)=0),"",SUM(BE10:BE64)/SUM(MCAin!$W$26:$W$80))</f>
        <v/>
      </c>
      <c r="BF160" s="465" t="str">
        <f>IF(OR(BF156=1,$C160=1,code0="",SUM(MCAin!$X$26:$X$80)=0),"",SUM(BF10:BF64)/SUM(MCAin!$X$26:$X$80))</f>
        <v/>
      </c>
      <c r="BG160" s="343" t="str">
        <f>IF(OR(BF156=1,$C160=1,code1="",SUM(MCAin!$X$26:$X$80)=0),"",SUM(BG10:BG64)/SUM(MCAin!$X$26:$X$80))</f>
        <v/>
      </c>
      <c r="BH160" s="343" t="str">
        <f>IF(OR(BF156=1,$C160=1,code2="",SUM(MCAin!$X$26:$X$80)=0),"",SUM(BH10:BH64)/SUM(MCAin!$X$26:$X$80))</f>
        <v/>
      </c>
      <c r="BI160" s="343" t="str">
        <f>IF(OR(BF156=1,$C160=1,code3="",SUM(MCAin!$X$26:$X$80)=0),"",SUM(BI10:BI64)/SUM(MCAin!$X$26:$X$80))</f>
        <v/>
      </c>
      <c r="BJ160" s="343" t="str">
        <f>IF(OR(BF156=1,$C160=1,code4="",SUM(MCAin!$X$26:$X$80)=0),"",SUM(BJ10:BJ64)/SUM(MCAin!$X$26:$X$80))</f>
        <v/>
      </c>
      <c r="BK160" s="350" t="str">
        <f>IF(OR(BF156=1,$C160=1,code5="",SUM(MCAin!$X$26:$X$80)=0),"",SUM(BK10:BK64)/SUM(MCAin!$X$26:$X$80))</f>
        <v/>
      </c>
      <c r="BL160" s="465" t="str">
        <f>IF(OR(BL156=1,$C160=1,code0="",SUM(MCAin!$Y$26:$Y$80)=0),"",SUM(BL10:BL64)/SUM(MCAin!$Y$26:$Y$80))</f>
        <v/>
      </c>
      <c r="BM160" s="343" t="str">
        <f>IF(OR(BL156=1,$C160=1,code1="",SUM(MCAin!$Y$26:$Y$80)=0),"",SUM(BM10:BM64)/SUM(MCAin!$Y$26:$Y$80))</f>
        <v/>
      </c>
      <c r="BN160" s="343" t="str">
        <f>IF(OR(BL156=1,$C160=1,code2="",SUM(MCAin!$Y$26:$Y$80)=0),"",SUM(BN10:BN64)/SUM(MCAin!$Y$26:$Y$80))</f>
        <v/>
      </c>
      <c r="BO160" s="343" t="str">
        <f>IF(OR(BL156=1,$C160=1,code3="",SUM(MCAin!$Y$26:$Y$80)=0),"",SUM(BO10:BO64)/SUM(MCAin!$Y$26:$Y$80))</f>
        <v/>
      </c>
      <c r="BP160" s="343" t="str">
        <f>IF(OR(BL156=1,$C160=1,code4="",SUM(MCAin!$Y$26:$Y$80)=0),"",SUM(BP10:BP64)/SUM(MCAin!$Y$26:$Y$80))</f>
        <v/>
      </c>
      <c r="BQ160" s="350" t="str">
        <f>IF(OR(BL156=1,$C160=1,code5="",SUM(MCAin!$Y$26:$Y$80)=0),"",SUM(BQ10:BQ64)/SUM(MCAin!$Y$26:$Y$80))</f>
        <v/>
      </c>
      <c r="BR160" s="315"/>
      <c r="BS160" s="315"/>
      <c r="BT160" s="315"/>
      <c r="BU160" s="315"/>
      <c r="BV160" s="315"/>
      <c r="BW160" s="315"/>
      <c r="BX160" s="315"/>
      <c r="BY160" s="315"/>
      <c r="BZ160" s="315"/>
    </row>
    <row r="161" spans="1:78" ht="15" customHeight="1">
      <c r="B161" s="110" t="s">
        <v>226</v>
      </c>
      <c r="C161" s="970">
        <f>IF(COUNTIF(N68:S126,"&gt;=0")=0,1,"")</f>
        <v>1</v>
      </c>
      <c r="U161" s="110" t="s">
        <v>226</v>
      </c>
      <c r="V161" s="465" t="str">
        <f>IF(OR(V156=1,$C161=1,code0="",SUM(MCAin!$R$84:$R$142)=0),"",SUM(V68:V126)/SUM(MCAin!$R$84:$R$142))</f>
        <v/>
      </c>
      <c r="W161" s="343" t="str">
        <f>IF(OR(V156=1,$C161=1,code1="",SUM(MCAin!$R$84:$R$142)=0),"",SUM(W68:W126)/SUM(MCAin!$R$84:$R$142))</f>
        <v/>
      </c>
      <c r="X161" s="343" t="str">
        <f>IF(OR(V156=1,$C161=1,code2="",SUM(MCAin!$R$84:$R$142)=0),"",SUM(X68:X126)/SUM(MCAin!$R$84:$R$142))</f>
        <v/>
      </c>
      <c r="Y161" s="343" t="str">
        <f>IF(OR(V156=1,$C161=1,code3="",SUM(MCAin!$R$84:$R$142)=0),"",SUM(Y68:Y126)/SUM(MCAin!$R$84:$R$142))</f>
        <v/>
      </c>
      <c r="Z161" s="343" t="str">
        <f>IF(OR(V156=1,$C161=1,code4="",SUM(MCAin!$R$84:$R$142)=0),"",SUM(Z68:Z126)/SUM(MCAin!$R$84:$R$142))</f>
        <v/>
      </c>
      <c r="AA161" s="350" t="str">
        <f>IF(OR(V156=1,$C161=1,code5="",SUM(MCAin!$R$84:$R$142)=0),"",SUM(AA68:AA126)/SUM(MCAin!$R$84:$R$142))</f>
        <v/>
      </c>
      <c r="AB161" s="465" t="str">
        <f>IF(OR(AB156=1,$C161=1,code0="",SUM(MCAin!$S$84:$S$142)=0),"",SUM(AB68:AB126)/SUM(MCAin!$S$84:$S$142))</f>
        <v/>
      </c>
      <c r="AC161" s="343" t="str">
        <f>IF(OR(AB156=1,$C161=1,code1="",SUM(MCAin!$S$84:$S$142)=0),"",SUM(AC68:AC126)/SUM(MCAin!$S$84:$S$142))</f>
        <v/>
      </c>
      <c r="AD161" s="343" t="str">
        <f>IF(OR(AB156=1,$C161=1,code2="",SUM(MCAin!$S$84:$S$142)=0),"",SUM(AD68:AD126)/SUM(MCAin!$S$84:$S$142))</f>
        <v/>
      </c>
      <c r="AE161" s="343" t="str">
        <f>IF(OR(AB156=1,$C161=1,code3="",SUM(MCAin!$S$84:$S$142)=0),"",SUM(AE68:AE126)/SUM(MCAin!$S$84:$S$142))</f>
        <v/>
      </c>
      <c r="AF161" s="343" t="str">
        <f>IF(OR(AB156=1,$C161=1,code4="",SUM(MCAin!$S$84:$S$142)=0),"",SUM(AF68:AF126)/SUM(MCAin!$S$84:$S$142))</f>
        <v/>
      </c>
      <c r="AG161" s="350" t="str">
        <f>IF(OR(AB156=1,$C161=1,code5="",SUM(MCAin!$S$84:$S$142)=0),"",SUM(AG68:AG126)/SUM(MCAin!$S$84:$S$142))</f>
        <v/>
      </c>
      <c r="AH161" s="465" t="str">
        <f>IF(OR(AH156=1,$C161=1,code0="",SUM(MCAin!$T$84:$T$142)=0),"",SUM(AH68:AH126)/SUM(MCAin!$T$84:$T$142))</f>
        <v/>
      </c>
      <c r="AI161" s="343" t="str">
        <f>IF(OR(AH156=1,$C161=1,code1="",SUM(MCAin!$T$84:$T$142)=0),"",SUM(AI68:AI126)/SUM(MCAin!$T$84:$T$142))</f>
        <v/>
      </c>
      <c r="AJ161" s="343" t="str">
        <f>IF(OR(AH156=1,$C161=1,code2="",SUM(MCAin!$T$84:$T$142)=0),"",SUM(AJ68:AJ126)/SUM(MCAin!$T$84:$T$142))</f>
        <v/>
      </c>
      <c r="AK161" s="343" t="str">
        <f>IF(OR(AH156=1,$C161=1,code3="",SUM(MCAin!$T$84:$T$142)=0),"",SUM(AK68:AK126)/SUM(MCAin!$T$84:$T$142))</f>
        <v/>
      </c>
      <c r="AL161" s="343" t="str">
        <f>IF(OR(AH156=1,$C161=1,code4="",SUM(MCAin!$T$84:$T$142)=0),"",SUM(AL68:AL126)/SUM(MCAin!$T$84:$T$142))</f>
        <v/>
      </c>
      <c r="AM161" s="350" t="str">
        <f>IF(OR(AH156=1,$C161=1,code5="",SUM(MCAin!$T$84:$T$142)=0),"",SUM(AM68:AM126)/SUM(MCAin!$T$84:$T$142))</f>
        <v/>
      </c>
      <c r="AN161" s="465" t="str">
        <f>IF(OR(AN156=1,$C161=1,code0="",SUM(MCAin!$U$84:$U$142)=0),"",SUM(AN68:AN126)/SUM(MCAin!$U$84:$U$142))</f>
        <v/>
      </c>
      <c r="AO161" s="343" t="str">
        <f>IF(OR(AN156=1,$C161=1,code1="",SUM(MCAin!$U$84:$U$142)=0),"",SUM(AO68:AO126)/SUM(MCAin!$U$84:$U$142))</f>
        <v/>
      </c>
      <c r="AP161" s="343" t="str">
        <f>IF(OR(AN156=1,$C161=1,code2="",SUM(MCAin!$U$84:$U$142)=0),"",SUM(AP68:AP126)/SUM(MCAin!$U$84:$U$142))</f>
        <v/>
      </c>
      <c r="AQ161" s="343" t="str">
        <f>IF(OR(AN156=1,$C161=1,code3="",SUM(MCAin!$U$84:$U$142)=0),"",SUM(AQ68:AQ126)/SUM(MCAin!$U$84:$U$142))</f>
        <v/>
      </c>
      <c r="AR161" s="343" t="str">
        <f>IF(OR(AN156=1,$C161=1,code4="",SUM(MCAin!$U$84:$U$142)=0),"",SUM(AR68:AR126)/SUM(MCAin!$U$84:$U$142))</f>
        <v/>
      </c>
      <c r="AS161" s="350" t="str">
        <f>IF(OR(AN156=1,$C161=1,code5="",SUM(MCAin!$U$84:$U$142)=0),"",SUM(AS68:AS126)/SUM(MCAin!$U$84:$U$142))</f>
        <v/>
      </c>
      <c r="AT161" s="465" t="str">
        <f>IF(OR(AT156=1,$C161=1,code0="",SUM(MCAin!$V$84:$V$142)=0),"",SUM(AT68:AT126)/SUM(MCAin!$V$84:$V$142))</f>
        <v/>
      </c>
      <c r="AU161" s="343" t="str">
        <f>IF(OR(AT156=1,$C161=1,code1="",SUM(MCAin!$V$84:$V$142)=0),"",SUM(AU68:AU126)/SUM(MCAin!$V$84:$V$142))</f>
        <v/>
      </c>
      <c r="AV161" s="343" t="str">
        <f>IF(OR(AT156=1,$C161=1,code2="",SUM(MCAin!$V$84:$V$142)=0),"",SUM(AV68:AV126)/SUM(MCAin!$V$84:$V$142))</f>
        <v/>
      </c>
      <c r="AW161" s="343" t="str">
        <f>IF(OR(AT156=1,$C161=1,code3="",SUM(MCAin!$V$84:$V$142)=0),"",SUM(AW68:AW126)/SUM(MCAin!$V$84:$V$142))</f>
        <v/>
      </c>
      <c r="AX161" s="343" t="str">
        <f>IF(OR(AT156=1,$C161=1,code4="",SUM(MCAin!$V$84:$V$142)=0),"",SUM(AX68:AX126)/SUM(MCAin!$V$84:$V$142))</f>
        <v/>
      </c>
      <c r="AY161" s="350" t="str">
        <f>IF(OR(AT156=1,$C161=1,code5="",SUM(MCAin!$V$84:$V$142)=0),"",SUM(AY68:AY126)/SUM(MCAin!$V$84:$V$142))</f>
        <v/>
      </c>
      <c r="AZ161" s="465" t="str">
        <f>IF(OR(AZ156=1,$C161=1,code0="",SUM(MCAin!$W$84:$W$142)=0),"",SUM(AZ68:AZ126)/SUM(MCAin!$W$84:$W$142))</f>
        <v/>
      </c>
      <c r="BA161" s="343" t="str">
        <f>IF(OR(AZ156=1,$C161=1,code1="",SUM(MCAin!$W$84:$W$142)=0),"",SUM(BA68:BA126)/SUM(MCAin!$W$84:$W$142))</f>
        <v/>
      </c>
      <c r="BB161" s="343" t="str">
        <f>IF(OR(AZ156=1,$C161=1,code2="",SUM(MCAin!$W$84:$W$142)=0),"",SUM(BB68:BB126)/SUM(MCAin!$W$84:$W$142))</f>
        <v/>
      </c>
      <c r="BC161" s="343" t="str">
        <f>IF(OR(AZ156=1,$C161=1,code3="",SUM(MCAin!$W$84:$W$142)=0),"",SUM(BC68:BC126)/SUM(MCAin!$W$84:$W$142))</f>
        <v/>
      </c>
      <c r="BD161" s="343" t="str">
        <f>IF(OR(AZ156=1,$C161=1,code4="",SUM(MCAin!$W$84:$W$142)=0),"",SUM(BD68:BD126)/SUM(MCAin!$W$84:$W$142))</f>
        <v/>
      </c>
      <c r="BE161" s="350" t="str">
        <f>IF(OR(AZ156=1,$C161=1,code5="",SUM(MCAin!$W$84:$W$142)=0),"",SUM(BE68:BE126)/SUM(MCAin!$W$84:$W$142))</f>
        <v/>
      </c>
      <c r="BF161" s="465" t="str">
        <f>IF(OR(BF156=1,$C161=1,code0="",SUM(MCAin!$X$84:$X$142)=0),"",SUM(BF68:BF126)/SUM(MCAin!$X$84:$X$142))</f>
        <v/>
      </c>
      <c r="BG161" s="343" t="str">
        <f>IF(OR(BF156=1,$C161=1,code1="",SUM(MCAin!$X$84:$X$142)=0),"",SUM(BG68:BG126)/SUM(MCAin!$X$84:$X$142))</f>
        <v/>
      </c>
      <c r="BH161" s="343" t="str">
        <f>IF(OR(BF156=1,$C161=1,code2="",SUM(MCAin!$X$84:$X$142)=0),"",SUM(BH68:BH126)/SUM(MCAin!$X$84:$X$142))</f>
        <v/>
      </c>
      <c r="BI161" s="343" t="str">
        <f>IF(OR(BF156=1,$C161=1,code3="",SUM(MCAin!$X$84:$X$142)=0),"",SUM(BI68:BI126)/SUM(MCAin!$X$84:$X$142))</f>
        <v/>
      </c>
      <c r="BJ161" s="343" t="str">
        <f>IF(OR(BF156=1,$C161=1,code4="",SUM(MCAin!$X$84:$X$142)=0),"",SUM(BJ68:BJ126)/SUM(MCAin!$X$84:$X$142))</f>
        <v/>
      </c>
      <c r="BK161" s="350" t="str">
        <f>IF(OR(BF156=1,$C161=1,code5="",SUM(MCAin!$X$84:$X$142)=0),"",SUM(BK68:BK126)/SUM(MCAin!$X$84:$X$142))</f>
        <v/>
      </c>
      <c r="BL161" s="465" t="str">
        <f>IF(OR(BL156=1,$C161=1,code0="",SUM(MCAin!$Y$84:$Y$142)=0),"",SUM(BL68:BL126)/SUM(MCAin!$Y$84:$Y$142))</f>
        <v/>
      </c>
      <c r="BM161" s="343" t="str">
        <f>IF(OR(BL156=1,$C161=1,code1="",SUM(MCAin!$Y$84:$Y$142)=0),"",SUM(BM68:BM126)/SUM(MCAin!$Y$84:$Y$142))</f>
        <v/>
      </c>
      <c r="BN161" s="343" t="str">
        <f>IF(OR(BL156=1,$C161=1,code2="",SUM(MCAin!$Y$84:$Y$142)=0),"",SUM(BN68:BN126)/SUM(MCAin!$Y$84:$Y$142))</f>
        <v/>
      </c>
      <c r="BO161" s="343" t="str">
        <f>IF(OR(BL156=1,$C161=1,code3="",SUM(MCAin!$Y$84:$Y$142)=0),"",SUM(BO68:BO126)/SUM(MCAin!$Y$84:$Y$142))</f>
        <v/>
      </c>
      <c r="BP161" s="343" t="str">
        <f>IF(OR(BL156=1,$C161=1,code4="",SUM(MCAin!$Y$84:$Y$142)=0),"",SUM(BP68:BP126)/SUM(MCAin!$Y$84:$Y$142))</f>
        <v/>
      </c>
      <c r="BQ161" s="350" t="str">
        <f>IF(OR(BL156=1,$C161=1,code5="",SUM(MCAin!$Y$84:$Y$142)=0),"",SUM(BQ68:BQ126)/SUM(MCAin!$Y$84:$Y$142))</f>
        <v/>
      </c>
      <c r="BR161" s="315"/>
      <c r="BS161" s="315"/>
      <c r="BT161" s="315"/>
      <c r="BU161" s="315"/>
      <c r="BV161" s="315"/>
      <c r="BW161" s="315"/>
      <c r="BX161" s="315"/>
      <c r="BY161" s="315"/>
      <c r="BZ161" s="315"/>
    </row>
    <row r="162" spans="1:78" ht="15" customHeight="1">
      <c r="B162" s="110" t="s">
        <v>21</v>
      </c>
      <c r="C162" s="970">
        <f>IF(COUNTIF(N130:S133,"&gt;=0")=0,1,"")</f>
        <v>1</v>
      </c>
      <c r="U162" s="110" t="s">
        <v>21</v>
      </c>
      <c r="V162" s="465" t="str">
        <f>IF(OR(V156=1,$C162=1,code0="",SUM(MCAin!$R$146:$R$149)=0),"",SUM(V130:V133)/SUM(MCAin!$R$146:$R$149))</f>
        <v/>
      </c>
      <c r="W162" s="343" t="str">
        <f>IF(OR(V156=1,$C162=1,code1="",SUM(MCAin!$R$146:$R$149)=0),"",SUM(W130:W133)/SUM(MCAin!$R$146:$R$149))</f>
        <v/>
      </c>
      <c r="X162" s="343" t="str">
        <f>IF(OR(V156=1,$C162=1,code2="",SUM(MCAin!$R$146:$R$149)=0),"",SUM(X130:X133)/SUM(MCAin!$R$146:$R$149))</f>
        <v/>
      </c>
      <c r="Y162" s="343" t="str">
        <f>IF(OR(V156=1,$C162=1,code3="",SUM(MCAin!$R$146:$R$149)=0),"",SUM(Y130:Y133)/SUM(MCAin!$R$146:$R$149))</f>
        <v/>
      </c>
      <c r="Z162" s="343" t="str">
        <f>IF(OR(V156=1,$C162=1,code4="",SUM(MCAin!$R$146:$R$149)=0),"",SUM(Z130:Z133)/SUM(MCAin!$R$146:$R$149))</f>
        <v/>
      </c>
      <c r="AA162" s="350" t="str">
        <f>IF(OR(V156=1,$C162=1,code5="",SUM(MCAin!$R$146:$R$149)=0),"",SUM(AA130:AA133)/SUM(MCAin!$R$146:$R$149))</f>
        <v/>
      </c>
      <c r="AB162" s="465" t="str">
        <f>IF(OR(AB156=1,$C162=1,code0="",SUM(MCAin!$S$146:$S$149)=0),"",SUM(AB130:AB133)/SUM(MCAin!$S$146:$S$149))</f>
        <v/>
      </c>
      <c r="AC162" s="343" t="str">
        <f>IF(OR(AB156=1,$C162=1,code1="",SUM(MCAin!$S$146:$S$149)=0),"",SUM(AC130:AC133)/SUM(MCAin!$S$146:$S$149))</f>
        <v/>
      </c>
      <c r="AD162" s="343" t="str">
        <f>IF(OR(AB156=1,$C162=1,code2="",SUM(MCAin!$S$146:$S$149)=0),"",SUM(AD130:AD133)/SUM(MCAin!$S$146:$S$149))</f>
        <v/>
      </c>
      <c r="AE162" s="343" t="str">
        <f>IF(OR(AB156=1,$C162=1,code3="",SUM(MCAin!$S$146:$S$149)=0),"",SUM(AE130:AE133)/SUM(MCAin!$S$146:$S$149))</f>
        <v/>
      </c>
      <c r="AF162" s="343" t="str">
        <f>IF(OR(AB156=1,$C162=1,code4="",SUM(MCAin!$S$146:$S$149)=0),"",SUM(AF130:AF133)/SUM(MCAin!$S$146:$S$149))</f>
        <v/>
      </c>
      <c r="AG162" s="350" t="str">
        <f>IF(OR(AB156=1,$C162=1,code5="",SUM(MCAin!$S$146:$S$149)=0),"",SUM(AG130:AG133)/SUM(MCAin!$S$146:$S$149))</f>
        <v/>
      </c>
      <c r="AH162" s="465" t="str">
        <f>IF(OR(AH156=1,$C162=1,code0="",SUM(MCAin!$T$146:$T$149)=0),"",SUM(AH130:AH133)/SUM(MCAin!$T$146:$T$149))</f>
        <v/>
      </c>
      <c r="AI162" s="343" t="str">
        <f>IF(OR(AH156=1,$C162=1,code1="",SUM(MCAin!$T$146:$T$149)=0),"",SUM(AI130:AI133)/SUM(MCAin!$T$146:$T$149))</f>
        <v/>
      </c>
      <c r="AJ162" s="343" t="str">
        <f>IF(OR(AH156=1,$C162=1,code2="",SUM(MCAin!$T$146:$T$149)=0),"",SUM(AJ130:AJ133)/SUM(MCAin!$T$146:$T$149))</f>
        <v/>
      </c>
      <c r="AK162" s="343" t="str">
        <f>IF(OR(AH156=1,$C162=1,code3="",SUM(MCAin!$T$146:$T$149)=0),"",SUM(AK130:AK133)/SUM(MCAin!$T$146:$T$149))</f>
        <v/>
      </c>
      <c r="AL162" s="343" t="str">
        <f>IF(OR(AH156=1,$C162=1,code4="",SUM(MCAin!$T$146:$T$149)=0),"",SUM(AL130:AL133)/SUM(MCAin!$T$146:$T$149))</f>
        <v/>
      </c>
      <c r="AM162" s="350" t="str">
        <f>IF(OR(AH156=1,$C162=1,code5="",SUM(MCAin!$T$146:$T$149)=0),"",SUM(AM130:AM133)/SUM(MCAin!$T$146:$T$149))</f>
        <v/>
      </c>
      <c r="AN162" s="465" t="str">
        <f>IF(OR(AN156=1,$C162=1,code0="",SUM(MCAin!$U$146:$U$149)=0),"",SUM(AN130:AN133)/SUM(MCAin!$U$146:$U$149))</f>
        <v/>
      </c>
      <c r="AO162" s="343" t="str">
        <f>IF(OR(AN156=1,$C162=1,code1="",SUM(MCAin!$U$146:$U$149)=0),"",SUM(AO130:AO133)/SUM(MCAin!$U$146:$U$149))</f>
        <v/>
      </c>
      <c r="AP162" s="343" t="str">
        <f>IF(OR(AN156=1,$C162=1,code2="",SUM(MCAin!$U$146:$U$149)=0),"",SUM(AP130:AP133)/SUM(MCAin!$U$146:$U$149))</f>
        <v/>
      </c>
      <c r="AQ162" s="343" t="str">
        <f>IF(OR(AN156=1,$C162=1,code3="",SUM(MCAin!$U$146:$U$149)=0),"",SUM(AQ130:AQ133)/SUM(MCAin!$U$146:$U$149))</f>
        <v/>
      </c>
      <c r="AR162" s="343" t="str">
        <f>IF(OR(AN156=1,$C162=1,code4="",SUM(MCAin!$U$146:$U$149)=0),"",SUM(AR130:AR133)/SUM(MCAin!$U$146:$U$149))</f>
        <v/>
      </c>
      <c r="AS162" s="350" t="str">
        <f>IF(OR(AN156=1,$C162=1,code5="",SUM(MCAin!$U$146:$U$149)=0),"",SUM(AS130:AS133)/SUM(MCAin!$U$146:$U$149))</f>
        <v/>
      </c>
      <c r="AT162" s="465" t="str">
        <f>IF(OR(AT156=1,$C162=1,code0="",SUM(MCAin!$V$146:$V$149)=0),"",SUM(AT130:AT133)/SUM(MCAin!$V$146:$V$149))</f>
        <v/>
      </c>
      <c r="AU162" s="343" t="str">
        <f>IF(OR(AT156=1,$C162=1,code1="",SUM(MCAin!$V$146:$V$149)=0),"",SUM(AU130:AU133)/SUM(MCAin!$V$146:$V$149))</f>
        <v/>
      </c>
      <c r="AV162" s="343" t="str">
        <f>IF(OR(AT156=1,$C162=1,code2="",SUM(MCAin!$V$146:$V$149)=0),"",SUM(AV130:AV133)/SUM(MCAin!$V$146:$V$149))</f>
        <v/>
      </c>
      <c r="AW162" s="343" t="str">
        <f>IF(OR(AT156=1,$C162=1,code3="",SUM(MCAin!$V$146:$V$149)=0),"",SUM(AW130:AW133)/SUM(MCAin!$V$146:$V$149))</f>
        <v/>
      </c>
      <c r="AX162" s="343" t="str">
        <f>IF(OR(AT156=1,$C162=1,code4="",SUM(MCAin!$V$146:$V$149)=0),"",SUM(AX130:AX133)/SUM(MCAin!$V$146:$V$149))</f>
        <v/>
      </c>
      <c r="AY162" s="350" t="str">
        <f>IF(OR(AT156=1,$C162=1,code5="",SUM(MCAin!$V$146:$V$149)=0),"",SUM(AY130:AY133)/SUM(MCAin!$V$146:$V$149))</f>
        <v/>
      </c>
      <c r="AZ162" s="465" t="str">
        <f>IF(OR(AZ156=1,$C162=1,code0="",SUM(MCAin!$W$146:$W$149)=0),"",SUM(AZ130:AZ133)/SUM(MCAin!$W$146:$W$149))</f>
        <v/>
      </c>
      <c r="BA162" s="343" t="str">
        <f>IF(OR(AZ156=1,$C162=1,code1="",SUM(MCAin!$W$146:$W$149)=0),"",SUM(BA130:BA133)/SUM(MCAin!$W$146:$W$149))</f>
        <v/>
      </c>
      <c r="BB162" s="343" t="str">
        <f>IF(OR(AZ156=1,$C162=1,code2="",SUM(MCAin!$W$146:$W$149)=0),"",SUM(BB130:BB133)/SUM(MCAin!$W$146:$W$149))</f>
        <v/>
      </c>
      <c r="BC162" s="343" t="str">
        <f>IF(OR(AZ156=1,$C162=1,code3="",SUM(MCAin!$W$146:$W$149)=0),"",SUM(BC130:BC133)/SUM(MCAin!$W$146:$W$149))</f>
        <v/>
      </c>
      <c r="BD162" s="343" t="str">
        <f>IF(OR(AZ156=1,$C162=1,code4="",SUM(MCAin!$W$146:$W$149)=0),"",SUM(BD130:BD133)/SUM(MCAin!$W$146:$W$149))</f>
        <v/>
      </c>
      <c r="BE162" s="350" t="str">
        <f>IF(OR(AZ156=1,$C162=1,code5="",SUM(MCAin!$W$146:$W$149)=0),"",SUM(BE130:BE133)/SUM(MCAin!$W$146:$W$149))</f>
        <v/>
      </c>
      <c r="BF162" s="465" t="str">
        <f>IF(OR(BF156=1,$C162=1,code0="",SUM(MCAin!$X$146:$X$149)=0),"",SUM(BF130:BF133)/SUM(MCAin!$X$146:$X$149))</f>
        <v/>
      </c>
      <c r="BG162" s="343" t="str">
        <f>IF(OR(BF156=1,$C162=1,code1="",SUM(MCAin!$X$146:$X$149)=0),"",SUM(BG130:BG133)/SUM(MCAin!$X$146:$X$149))</f>
        <v/>
      </c>
      <c r="BH162" s="343" t="str">
        <f>IF(OR(BF156=1,$C162=1,code2="",SUM(MCAin!$X$146:$X$149)=0),"",SUM(BH130:BH133)/SUM(MCAin!$X$146:$X$149))</f>
        <v/>
      </c>
      <c r="BI162" s="343" t="str">
        <f>IF(OR(BF156=1,$C162=1,code3="",SUM(MCAin!$X$146:$X$149)=0),"",SUM(BI130:BI133)/SUM(MCAin!$X$146:$X$149))</f>
        <v/>
      </c>
      <c r="BJ162" s="343" t="str">
        <f>IF(OR(BF156=1,$C162=1,code4="",SUM(MCAin!$X$146:$X$149)=0),"",SUM(BJ130:BJ133)/SUM(MCAin!$X$146:$X$149))</f>
        <v/>
      </c>
      <c r="BK162" s="350" t="str">
        <f>IF(OR(BF156=1,$C162=1,code5="",SUM(MCAin!$X$146:$X$149)=0),"",SUM(BK130:BK133)/SUM(MCAin!$X$146:$X$149))</f>
        <v/>
      </c>
      <c r="BL162" s="465" t="str">
        <f>IF(OR(BL156=1,$C162=1,code0="",SUM(MCAin!$Y$146:$Y$149)=0),"",SUM(BL130:BL133)/SUM(MCAin!$Y$146:$Y$149))</f>
        <v/>
      </c>
      <c r="BM162" s="343" t="str">
        <f>IF(OR(BL156=1,$C162=1,code1="",SUM(MCAin!$Y$146:$Y$149)=0),"",SUM(BM130:BM133)/SUM(MCAin!$Y$146:$Y$149))</f>
        <v/>
      </c>
      <c r="BN162" s="343" t="str">
        <f>IF(OR(BL156=1,$C162=1,code2="",SUM(MCAin!$Y$146:$Y$149)=0),"",SUM(BN130:BN133)/SUM(MCAin!$Y$146:$Y$149))</f>
        <v/>
      </c>
      <c r="BO162" s="343" t="str">
        <f>IF(OR(BL156=1,$C162=1,code3="",SUM(MCAin!$Y$146:$Y$149)=0),"",SUM(BO130:BO133)/SUM(MCAin!$Y$146:$Y$149))</f>
        <v/>
      </c>
      <c r="BP162" s="343" t="str">
        <f>IF(OR(BL156=1,$C162=1,code4="",SUM(MCAin!$Y$146:$Y$149)=0),"",SUM(BP130:BP133)/SUM(MCAin!$Y$146:$Y$149))</f>
        <v/>
      </c>
      <c r="BQ162" s="350" t="str">
        <f>IF(OR(BL156=1,$C162=1,code5="",SUM(MCAin!$Y$146:$Y$149)=0),"",SUM(BQ130:BQ133)/SUM(MCAin!$Y$146:$Y$149))</f>
        <v/>
      </c>
      <c r="BR162" s="315"/>
      <c r="BS162" s="315"/>
      <c r="BT162" s="315"/>
      <c r="BU162" s="315"/>
      <c r="BV162" s="315"/>
      <c r="BW162" s="315"/>
      <c r="BX162" s="315"/>
      <c r="BY162" s="315"/>
      <c r="BZ162" s="315"/>
    </row>
    <row r="163" spans="1:78" ht="15" customHeight="1">
      <c r="B163" s="110" t="s">
        <v>24</v>
      </c>
      <c r="C163" s="970">
        <f>IF(COUNTIF(N135:S144,"&gt;=0")=0,1,"")</f>
        <v>1</v>
      </c>
      <c r="U163" s="110" t="s">
        <v>24</v>
      </c>
      <c r="V163" s="465" t="str">
        <f>IF(OR(V156=1,$C163=1,code0="",SUM(MCAin!$R$151:$R$160)=0),"",SUM(V135:V144)/SUM(MCAin!$R$151:$R$160))</f>
        <v/>
      </c>
      <c r="W163" s="343" t="str">
        <f>IF(OR(V156=1,$C163=1,code1="",SUM(MCAin!$R$151:$R$160)=0),"",SUM(W135:W144)/SUM(MCAin!$R$151:$R$160))</f>
        <v/>
      </c>
      <c r="X163" s="343" t="str">
        <f>IF(OR(V156=1,$C163=1,code2="",SUM(MCAin!$R$151:$R$160)=0),"",SUM(X135:X144)/SUM(MCAin!$R$151:$R$160))</f>
        <v/>
      </c>
      <c r="Y163" s="343" t="str">
        <f>IF(OR(V156=1,$C163=1,code3="",SUM(MCAin!$R$151:$R$160)=0),"",SUM(Y135:Y144)/SUM(MCAin!$R$151:$R$160))</f>
        <v/>
      </c>
      <c r="Z163" s="343" t="str">
        <f>IF(OR(V156=1,$C163=1,code4="",SUM(MCAin!$R$151:$R$160)=0),"",SUM(Z135:Z144)/SUM(MCAin!$R$151:$R$160))</f>
        <v/>
      </c>
      <c r="AA163" s="350" t="str">
        <f>IF(OR(V156=1,$C163=1,code5="",SUM(MCAin!$R$151:$R$160)=0),"",SUM(AA135:AA144)/SUM(MCAin!$R$151:$R$160))</f>
        <v/>
      </c>
      <c r="AB163" s="465" t="str">
        <f>IF(OR(AB156=1,$C163=1,code0="",SUM(MCAin!$S$151:$S$160)=0),"",SUM(AB135:AB144)/SUM(MCAin!$S$151:$S$160))</f>
        <v/>
      </c>
      <c r="AC163" s="343" t="str">
        <f>IF(OR(AB156=1,$C163=1,code1="",SUM(MCAin!$S$151:$S$160)=0),"",SUM(AC135:AC144)/SUM(MCAin!$S$151:$S$160))</f>
        <v/>
      </c>
      <c r="AD163" s="343" t="str">
        <f>IF(OR(AB156=1,$C163=1,code2="",SUM(MCAin!$S$151:$S$160)=0),"",SUM(AD135:AD144)/SUM(MCAin!$S$151:$S$160))</f>
        <v/>
      </c>
      <c r="AE163" s="343" t="str">
        <f>IF(OR(AB156=1,$C163=1,code3="",SUM(MCAin!$S$151:$S$160)=0),"",SUM(AE135:AE144)/SUM(MCAin!$S$151:$S$160))</f>
        <v/>
      </c>
      <c r="AF163" s="343" t="str">
        <f>IF(OR(AB156=1,$C163=1,code4="",SUM(MCAin!$S$151:$S$160)=0),"",SUM(AF135:AF144)/SUM(MCAin!$S$151:$S$160))</f>
        <v/>
      </c>
      <c r="AG163" s="350" t="str">
        <f>IF(OR(AB156=1,$C163=1,code5="",SUM(MCAin!$S$151:$S$160)=0),"",SUM(AG135:AG144)/SUM(MCAin!$S$151:$S$160))</f>
        <v/>
      </c>
      <c r="AH163" s="465" t="str">
        <f>IF(OR(AH156=1,$C163=1,code0="",SUM(MCAin!$T$151:$T$160)=0),"",SUM(AH135:AH144)/SUM(MCAin!$T$151:$T$160))</f>
        <v/>
      </c>
      <c r="AI163" s="343" t="str">
        <f>IF(OR(AH156=1,$C163=1,code1="",SUM(MCAin!$T$151:$T$160)=0),"",SUM(AI135:AI144)/SUM(MCAin!$T$151:$T$160))</f>
        <v/>
      </c>
      <c r="AJ163" s="343" t="str">
        <f>IF(OR(AH156=1,$C163=1,code2="",SUM(MCAin!$T$151:$T$160)=0),"",SUM(AJ135:AJ144)/SUM(MCAin!$T$151:$T$160))</f>
        <v/>
      </c>
      <c r="AK163" s="343" t="str">
        <f>IF(OR(AH156=1,$C163=1,code3="",SUM(MCAin!$T$151:$T$160)=0),"",SUM(AK135:AK144)/SUM(MCAin!$T$151:$T$160))</f>
        <v/>
      </c>
      <c r="AL163" s="343" t="str">
        <f>IF(OR(AH156=1,$C163=1,code4="",SUM(MCAin!$T$151:$T$160)=0),"",SUM(AL135:AL144)/SUM(MCAin!$T$151:$T$160))</f>
        <v/>
      </c>
      <c r="AM163" s="350" t="str">
        <f>IF(OR(AH156=1,$C163=1,code5="",SUM(MCAin!$T$151:$T$160)=0),"",SUM(AM135:AM144)/SUM(MCAin!$T$151:$T$160))</f>
        <v/>
      </c>
      <c r="AN163" s="465" t="str">
        <f>IF(OR(AN156=1,$C163=1,code0="",SUM(MCAin!$U$151:$U$160)=0),"",SUM(AN135:AN144)/SUM(MCAin!$U$151:$U$160))</f>
        <v/>
      </c>
      <c r="AO163" s="343" t="str">
        <f>IF(OR(AN156=1,$C163=1,code1="",SUM(MCAin!$U$151:$U$160)=0),"",SUM(AO135:AO144)/SUM(MCAin!$U$151:$U$160))</f>
        <v/>
      </c>
      <c r="AP163" s="343" t="str">
        <f>IF(OR(AN156=1,$C163=1,code2="",SUM(MCAin!$U$151:$U$160)=0),"",SUM(AP135:AP144)/SUM(MCAin!$U$151:$U$160))</f>
        <v/>
      </c>
      <c r="AQ163" s="343" t="str">
        <f>IF(OR(AN156=1,$C163=1,code3="",SUM(MCAin!$U$151:$U$160)=0),"",SUM(AQ135:AQ144)/SUM(MCAin!$U$151:$U$160))</f>
        <v/>
      </c>
      <c r="AR163" s="343" t="str">
        <f>IF(OR(AN156=1,$C163=1,code4="",SUM(MCAin!$U$151:$U$160)=0),"",SUM(AR135:AR144)/SUM(MCAin!$U$151:$U$160))</f>
        <v/>
      </c>
      <c r="AS163" s="350" t="str">
        <f>IF(OR(AN156=1,$C163=1,code5="",SUM(MCAin!$U$151:$U$160)=0),"",SUM(AS135:AS144)/SUM(MCAin!$U$151:$U$160))</f>
        <v/>
      </c>
      <c r="AT163" s="465" t="str">
        <f>IF(OR(AT156=1,$C163=1,code0="",SUM(MCAin!$V$151:$V$160)=0),"",SUM(AT135:AT144)/SUM(MCAin!$V$151:$V$160))</f>
        <v/>
      </c>
      <c r="AU163" s="343" t="str">
        <f>IF(OR(AT156=1,$C163=1,code1="",SUM(MCAin!$V$151:$V$160)=0),"",SUM(AU135:AU144)/SUM(MCAin!$V$151:$V$160))</f>
        <v/>
      </c>
      <c r="AV163" s="343" t="str">
        <f>IF(OR(AT156=1,$C163=1,code2="",SUM(MCAin!$V$151:$V$160)=0),"",SUM(AV135:AV144)/SUM(MCAin!$V$151:$V$160))</f>
        <v/>
      </c>
      <c r="AW163" s="343" t="str">
        <f>IF(OR(AT156=1,$C163=1,code3="",SUM(MCAin!$V$151:$V$160)=0),"",SUM(AW135:AW144)/SUM(MCAin!$V$151:$V$160))</f>
        <v/>
      </c>
      <c r="AX163" s="343" t="str">
        <f>IF(OR(AT156=1,$C163=1,code4="",SUM(MCAin!$V$151:$V$160)=0),"",SUM(AX135:AX144)/SUM(MCAin!$V$151:$V$160))</f>
        <v/>
      </c>
      <c r="AY163" s="350" t="str">
        <f>IF(OR(AT156=1,$C163=1,code5="",SUM(MCAin!$V$151:$V$160)=0),"",SUM(AY135:AY144)/SUM(MCAin!$V$151:$V$160))</f>
        <v/>
      </c>
      <c r="AZ163" s="465" t="str">
        <f>IF(OR(AZ156=1,$C163=1,code0="",SUM(MCAin!$W$151:$W$160)=0),"",SUM(AZ135:AZ144)/SUM(MCAin!$W$151:$W$160))</f>
        <v/>
      </c>
      <c r="BA163" s="343" t="str">
        <f>IF(OR(AZ156=1,$C163=1,code1="",SUM(MCAin!$W$151:$W$160)=0),"",SUM(BA135:BA144)/SUM(MCAin!$W$151:$W$160))</f>
        <v/>
      </c>
      <c r="BB163" s="343" t="str">
        <f>IF(OR(AZ156=1,$C163=1,code2="",SUM(MCAin!$W$151:$W$160)=0),"",SUM(BB135:BB144)/SUM(MCAin!$W$151:$W$160))</f>
        <v/>
      </c>
      <c r="BC163" s="343" t="str">
        <f>IF(OR(AZ156=1,$C163=1,code3="",SUM(MCAin!$W$151:$W$160)=0),"",SUM(BC135:BC144)/SUM(MCAin!$W$151:$W$160))</f>
        <v/>
      </c>
      <c r="BD163" s="343" t="str">
        <f>IF(OR(AZ156=1,$C163=1,code4="",SUM(MCAin!$W$151:$W$160)=0),"",SUM(BD135:BD144)/SUM(MCAin!$W$151:$W$160))</f>
        <v/>
      </c>
      <c r="BE163" s="350" t="str">
        <f>IF(OR(AZ156=1,$C163=1,code5="",SUM(MCAin!$W$151:$W$160)=0),"",SUM(BE135:BE144)/SUM(MCAin!$W$151:$W$160))</f>
        <v/>
      </c>
      <c r="BF163" s="465" t="str">
        <f>IF(OR(BF156=1,$C163=1,code0="",SUM(MCAin!$X$151:$X$160)=0),"",SUM(BF135:BF144)/SUM(MCAin!$X$151:$X$160))</f>
        <v/>
      </c>
      <c r="BG163" s="343" t="str">
        <f>IF(OR(BF156=1,$C163=1,code1="",SUM(MCAin!$X$151:$X$160)=0),"",SUM(BG135:BG144)/SUM(MCAin!$X$151:$X$160))</f>
        <v/>
      </c>
      <c r="BH163" s="343" t="str">
        <f>IF(OR(BF156=1,$C163=1,code2="",SUM(MCAin!$X$151:$X$160)=0),"",SUM(BH135:BH144)/SUM(MCAin!$X$151:$X$160))</f>
        <v/>
      </c>
      <c r="BI163" s="343" t="str">
        <f>IF(OR(BF156=1,$C163=1,code3="",SUM(MCAin!$X$151:$X$160)=0),"",SUM(BI135:BI144)/SUM(MCAin!$X$151:$X$160))</f>
        <v/>
      </c>
      <c r="BJ163" s="343" t="str">
        <f>IF(OR(BF156=1,$C163=1,code4="",SUM(MCAin!$X$151:$X$160)=0),"",SUM(BJ135:BJ144)/SUM(MCAin!$X$151:$X$160))</f>
        <v/>
      </c>
      <c r="BK163" s="350" t="str">
        <f>IF(OR(BF156=1,$C163=1,code5="",SUM(MCAin!$X$151:$X$160)=0),"",SUM(BK135:BK144)/SUM(MCAin!$X$151:$X$160))</f>
        <v/>
      </c>
      <c r="BL163" s="465" t="str">
        <f>IF(OR(BL156=1,$C163=1,code0="",SUM(MCAin!$Y$151:$Y$160)=0),"",SUM(BL135:BL144)/SUM(MCAin!$Y$151:$Y$160))</f>
        <v/>
      </c>
      <c r="BM163" s="343" t="str">
        <f>IF(OR(BL156=1,$C163=1,code1="",SUM(MCAin!$Y$151:$Y$160)=0),"",SUM(BM135:BM144)/SUM(MCAin!$Y$151:$Y$160))</f>
        <v/>
      </c>
      <c r="BN163" s="343" t="str">
        <f>IF(OR(BL156=1,$C163=1,code2="",SUM(MCAin!$Y$151:$Y$160)=0),"",SUM(BN135:BN144)/SUM(MCAin!$Y$151:$Y$160))</f>
        <v/>
      </c>
      <c r="BO163" s="343" t="str">
        <f>IF(OR(BL156=1,$C163=1,code3="",SUM(MCAin!$Y$151:$Y$160)=0),"",SUM(BO135:BO144)/SUM(MCAin!$Y$151:$Y$160))</f>
        <v/>
      </c>
      <c r="BP163" s="343" t="str">
        <f>IF(OR(BL156=1,$C163=1,code4="",SUM(MCAin!$Y$151:$Y$160)=0),"",SUM(BP135:BP144)/SUM(MCAin!$Y$151:$Y$160))</f>
        <v/>
      </c>
      <c r="BQ163" s="350" t="str">
        <f>IF(OR(BL156=1,$C163=1,code5="",SUM(MCAin!$Y$151:$Y$160)=0),"",SUM(BQ135:BQ144)/SUM(MCAin!$Y$151:$Y$160))</f>
        <v/>
      </c>
      <c r="BR163" s="315"/>
      <c r="BS163" s="315"/>
      <c r="BT163" s="315"/>
      <c r="BU163" s="315"/>
      <c r="BV163" s="315"/>
      <c r="BW163" s="315"/>
      <c r="BX163" s="315"/>
      <c r="BY163" s="315"/>
      <c r="BZ163" s="315"/>
    </row>
    <row r="164" spans="1:78" ht="15" customHeight="1">
      <c r="A164" s="340"/>
      <c r="B164" s="110" t="s">
        <v>25</v>
      </c>
      <c r="C164" s="970">
        <f>IF(COUNTIF(N146:S154,"&gt;=0")=0,1,"")</f>
        <v>1</v>
      </c>
      <c r="U164" s="110" t="s">
        <v>25</v>
      </c>
      <c r="V164" s="465" t="str">
        <f>IF(OR(V156=1,$C164=1,code0="",SUM(MCAin!$R$162:$R$170)=0),"",SUM(V146:V154)/SUM(MCAin!$R$162:$R$170))</f>
        <v/>
      </c>
      <c r="W164" s="343" t="str">
        <f>IF(OR(V156=1,$C164=1,code1="",SUM(MCAin!$R$162:$R$170)=0),"",SUM(W146:W154)/SUM(MCAin!$R$162:$R$170))</f>
        <v/>
      </c>
      <c r="X164" s="343" t="str">
        <f>IF(OR(V156=1,$C164=1,code2="",SUM(MCAin!$R$162:$R$170)=0),"",SUM(X146:X154)/SUM(MCAin!$R$162:$R$170))</f>
        <v/>
      </c>
      <c r="Y164" s="343" t="str">
        <f>IF(OR(V156=1,$C164=1,code3="",SUM(MCAin!$R$162:$R$170)=0),"",SUM(Y146:Y154)/SUM(MCAin!$R$162:$R$170))</f>
        <v/>
      </c>
      <c r="Z164" s="343" t="str">
        <f>IF(OR(V156=1,$C164=1,code4="",SUM(MCAin!$R$162:$R$170)=0),"",SUM(Z146:Z154)/SUM(MCAin!$R$162:$R$170))</f>
        <v/>
      </c>
      <c r="AA164" s="350" t="str">
        <f>IF(OR(V156=1,$C164=1,code5="",SUM(MCAin!$R$162:$R$170)=0),"",SUM(AA146:AA154)/SUM(MCAin!$R$162:$R$170))</f>
        <v/>
      </c>
      <c r="AB164" s="465" t="str">
        <f>IF(OR(AB156=1,$C164=1,code0="",SUM(MCAin!$S$162:$S$170)=0),"",SUM(AB146:AB154)/SUM(MCAin!$S$162:$S$170))</f>
        <v/>
      </c>
      <c r="AC164" s="343" t="str">
        <f>IF(OR(AB156=1,$C164=1,code1="",SUM(MCAin!$S$162:$S$170)=0),"",SUM(AC146:AC154)/SUM(MCAin!$S$162:$S$170))</f>
        <v/>
      </c>
      <c r="AD164" s="343" t="str">
        <f>IF(OR(AB156=1,$C164=1,code2="",SUM(MCAin!$S$162:$S$170)=0),"",SUM(AD146:AD154)/SUM(MCAin!$S$162:$S$170))</f>
        <v/>
      </c>
      <c r="AE164" s="343" t="str">
        <f>IF(OR(AB156=1,$C164=1,code3="",SUM(MCAin!$S$162:$S$170)=0),"",SUM(AE146:AE154)/SUM(MCAin!$S$162:$S$170))</f>
        <v/>
      </c>
      <c r="AF164" s="343" t="str">
        <f>IF(OR(AB156=1,$C164=1,code4="",SUM(MCAin!$S$162:$S$170)=0),"",SUM(AF146:AF154)/SUM(MCAin!$S$162:$S$170))</f>
        <v/>
      </c>
      <c r="AG164" s="350" t="str">
        <f>IF(OR(AB156=1,$C164=1,code5="",SUM(MCAin!$S$162:$S$170)=0),"",SUM(AG146:AG154)/SUM(MCAin!$S$162:$S$170))</f>
        <v/>
      </c>
      <c r="AH164" s="465" t="str">
        <f>IF(OR(AH156=1,$C164=1,code0="",SUM(MCAin!$T$162:$T$170)=0),"",SUM(AH146:AH154)/SUM(MCAin!$T$162:$T$170))</f>
        <v/>
      </c>
      <c r="AI164" s="343" t="str">
        <f>IF(OR(AH156=1,$C164=1,code1="",SUM(MCAin!$T$162:$T$170)=0),"",SUM(AI146:AI154)/SUM(MCAin!$T$162:$T$170))</f>
        <v/>
      </c>
      <c r="AJ164" s="343" t="str">
        <f>IF(OR(AH156=1,$C164=1,code2="",SUM(MCAin!$T$162:$T$170)=0),"",SUM(AJ146:AJ154)/SUM(MCAin!$T$162:$T$170))</f>
        <v/>
      </c>
      <c r="AK164" s="343" t="str">
        <f>IF(OR(AH156=1,$C164=1,code3="",SUM(MCAin!$T$162:$T$170)=0),"",SUM(AK146:AK154)/SUM(MCAin!$T$162:$T$170))</f>
        <v/>
      </c>
      <c r="AL164" s="343" t="str">
        <f>IF(OR(AH156=1,$C164=1,code4="",SUM(MCAin!$T$162:$T$170)=0),"",SUM(AL146:AL154)/SUM(MCAin!$T$162:$T$170))</f>
        <v/>
      </c>
      <c r="AM164" s="350" t="str">
        <f>IF(OR(AH156=1,$C164=1,code5="",SUM(MCAin!$T$162:$T$170)=0),"",SUM(AM146:AM154)/SUM(MCAin!$T$162:$T$170))</f>
        <v/>
      </c>
      <c r="AN164" s="465" t="str">
        <f>IF(OR(AN156=1,$C164=1,code0="",SUM(MCAin!$U$162:$U$170)=0),"",SUM(AN146:AN154)/SUM(MCAin!$U$162:$U$170))</f>
        <v/>
      </c>
      <c r="AO164" s="343" t="str">
        <f>IF(OR(AN156=1,$C164=1,code1="",SUM(MCAin!$U$162:$U$170)=0),"",SUM(AO146:AO154)/SUM(MCAin!$U$162:$U$170))</f>
        <v/>
      </c>
      <c r="AP164" s="343" t="str">
        <f>IF(OR(AN156=1,$C164=1,code2="",SUM(MCAin!$U$162:$U$170)=0),"",SUM(AP146:AP154)/SUM(MCAin!$U$162:$U$170))</f>
        <v/>
      </c>
      <c r="AQ164" s="343" t="str">
        <f>IF(OR(AN156=1,$C164=1,code3="",SUM(MCAin!$U$162:$U$170)=0),"",SUM(AQ146:AQ154)/SUM(MCAin!$U$162:$U$170))</f>
        <v/>
      </c>
      <c r="AR164" s="343" t="str">
        <f>IF(OR(AN156=1,$C164=1,code4="",SUM(MCAin!$U$162:$U$170)=0),"",SUM(AR146:AR154)/SUM(MCAin!$U$162:$U$170))</f>
        <v/>
      </c>
      <c r="AS164" s="350" t="str">
        <f>IF(OR(AN156=1,$C164=1,code5="",SUM(MCAin!$U$162:$U$170)=0),"",SUM(AS146:AS154)/SUM(MCAin!$U$162:$U$170))</f>
        <v/>
      </c>
      <c r="AT164" s="465" t="str">
        <f>IF(OR(AT156=1,$C164=1,code0="",SUM(MCAin!$V$162:$V$170)=0),"",SUM(AT146:AT154)/SUM(MCAin!$V$162:$V$170))</f>
        <v/>
      </c>
      <c r="AU164" s="343" t="str">
        <f>IF(OR(AT156=1,$C164=1,code1="",SUM(MCAin!$V$162:$V$170)=0),"",SUM(AU146:AU154)/SUM(MCAin!$V$162:$V$170))</f>
        <v/>
      </c>
      <c r="AV164" s="343" t="str">
        <f>IF(OR(AT156=1,$C164=1,code2="",SUM(MCAin!$V$162:$V$170)=0),"",SUM(AV146:AV154)/SUM(MCAin!$V$162:$V$170))</f>
        <v/>
      </c>
      <c r="AW164" s="343" t="str">
        <f>IF(OR(AT156=1,$C164=1,code3="",SUM(MCAin!$V$162:$V$170)=0),"",SUM(AW146:AW154)/SUM(MCAin!$V$162:$V$170))</f>
        <v/>
      </c>
      <c r="AX164" s="343" t="str">
        <f>IF(OR(AT156=1,$C164=1,code4="",SUM(MCAin!$V$162:$V$170)=0),"",SUM(AX146:AX154)/SUM(MCAin!$V$162:$V$170))</f>
        <v/>
      </c>
      <c r="AY164" s="350" t="str">
        <f>IF(OR(AT156=1,$C164=1,code5="",SUM(MCAin!$V$162:$V$170)=0),"",SUM(AY146:AY154)/SUM(MCAin!$V$162:$V$170))</f>
        <v/>
      </c>
      <c r="AZ164" s="465" t="str">
        <f>IF(OR(AZ156=1,$C164=1,code0="",SUM(MCAin!$W$162:$W$170)=0),"",SUM(AZ146:AZ154)/SUM(MCAin!$W$162:$W$170))</f>
        <v/>
      </c>
      <c r="BA164" s="343" t="str">
        <f>IF(OR(AZ156=1,$C164=1,code1="",SUM(MCAin!$W$162:$W$170)=0),"",SUM(BA146:BA154)/SUM(MCAin!$W$162:$W$170))</f>
        <v/>
      </c>
      <c r="BB164" s="343" t="str">
        <f>IF(OR(AZ156=1,$C164=1,code2="",SUM(MCAin!$W$162:$W$170)=0),"",SUM(BB146:BB154)/SUM(MCAin!$W$162:$W$170))</f>
        <v/>
      </c>
      <c r="BC164" s="343" t="str">
        <f>IF(OR(AZ156=1,$C164=1,code3="",SUM(MCAin!$W$162:$W$170)=0),"",SUM(BC146:BC154)/SUM(MCAin!$W$162:$W$170))</f>
        <v/>
      </c>
      <c r="BD164" s="343" t="str">
        <f>IF(OR(AZ156=1,$C164=1,code4="",SUM(MCAin!$W$162:$W$170)=0),"",SUM(BD146:BD154)/SUM(MCAin!$W$162:$W$170))</f>
        <v/>
      </c>
      <c r="BE164" s="350" t="str">
        <f>IF(OR(AZ156=1,$C164=1,code5="",SUM(MCAin!$W$162:$W$170)=0),"",SUM(BE146:BE154)/SUM(MCAin!$W$162:$W$170))</f>
        <v/>
      </c>
      <c r="BF164" s="465" t="str">
        <f>IF(OR(BF156=1,$C164=1,code0="",SUM(MCAin!$X$162:$X$170)=0),"",SUM(BF146:BF154)/SUM(MCAin!$X$162:$X$170))</f>
        <v/>
      </c>
      <c r="BG164" s="343" t="str">
        <f>IF(OR(BF156=1,$C164=1,code1="",SUM(MCAin!$X$162:$X$170)=0),"",SUM(BG146:BG154)/SUM(MCAin!$X$162:$X$170))</f>
        <v/>
      </c>
      <c r="BH164" s="343" t="str">
        <f>IF(OR(BF156=1,$C164=1,code2="",SUM(MCAin!$X$162:$X$170)=0),"",SUM(BH146:BH154)/SUM(MCAin!$X$162:$X$170))</f>
        <v/>
      </c>
      <c r="BI164" s="343" t="str">
        <f>IF(OR(BF156=1,$C164=1,code3="",SUM(MCAin!$X$162:$X$170)=0),"",SUM(BI146:BI154)/SUM(MCAin!$X$162:$X$170))</f>
        <v/>
      </c>
      <c r="BJ164" s="343" t="str">
        <f>IF(OR(BF156=1,$C164=1,code4="",SUM(MCAin!$X$162:$X$170)=0),"",SUM(BJ146:BJ154)/SUM(MCAin!$X$162:$X$170))</f>
        <v/>
      </c>
      <c r="BK164" s="350" t="str">
        <f>IF(OR(BF156=1,$C164=1,code5="",SUM(MCAin!$X$162:$X$170)=0),"",SUM(BK146:BK154)/SUM(MCAin!$X$162:$X$170))</f>
        <v/>
      </c>
      <c r="BL164" s="465" t="str">
        <f>IF(OR(BL156=1,$C164=1,code0="",SUM(MCAin!$Y$162:$Y$170)=0),"",SUM(BL146:BL154)/SUM(MCAin!$Y$162:$Y$170))</f>
        <v/>
      </c>
      <c r="BM164" s="343" t="str">
        <f>IF(OR(BL156=1,$C164=1,code1="",SUM(MCAin!$Y$162:$Y$170)=0),"",SUM(BM146:BM154)/SUM(MCAin!$Y$162:$Y$170))</f>
        <v/>
      </c>
      <c r="BN164" s="343" t="str">
        <f>IF(OR(BL156=1,$C164=1,code2="",SUM(MCAin!$Y$162:$Y$170)=0),"",SUM(BN146:BN154)/SUM(MCAin!$Y$162:$Y$170))</f>
        <v/>
      </c>
      <c r="BO164" s="343" t="str">
        <f>IF(OR(BL156=1,$C164=1,code3="",SUM(MCAin!$Y$162:$Y$170)=0),"",SUM(BO146:BO154)/SUM(MCAin!$Y$162:$Y$170))</f>
        <v/>
      </c>
      <c r="BP164" s="343" t="str">
        <f>IF(OR(BL156=1,$C164=1,code4="",SUM(MCAin!$Y$162:$Y$170)=0),"",SUM(BP146:BP154)/SUM(MCAin!$Y$162:$Y$170))</f>
        <v/>
      </c>
      <c r="BQ164" s="350" t="str">
        <f>IF(OR(BL156=1,$C164=1,code5="",SUM(MCAin!$Y$162:$Y$170)=0),"",SUM(BQ146:BQ154)/SUM(MCAin!$Y$162:$Y$170))</f>
        <v/>
      </c>
      <c r="BR164" s="315"/>
      <c r="BS164" s="315"/>
      <c r="BT164" s="315"/>
      <c r="BU164" s="315"/>
      <c r="BV164" s="315"/>
      <c r="BW164" s="315"/>
      <c r="BX164" s="315"/>
      <c r="BY164" s="315"/>
      <c r="BZ164" s="315"/>
    </row>
    <row r="165" spans="1:78" ht="15" customHeight="1">
      <c r="A165" s="340"/>
      <c r="C165" s="233"/>
      <c r="U165" s="110"/>
      <c r="V165" s="466"/>
      <c r="W165" s="341"/>
      <c r="X165" s="341"/>
      <c r="Y165" s="341"/>
      <c r="Z165" s="341"/>
      <c r="AA165" s="349"/>
      <c r="AB165" s="466"/>
      <c r="AC165" s="341"/>
      <c r="AD165" s="341"/>
      <c r="AE165" s="341"/>
      <c r="AF165" s="341"/>
      <c r="AG165" s="349"/>
      <c r="AH165" s="466"/>
      <c r="AI165" s="341"/>
      <c r="AJ165" s="341"/>
      <c r="AK165" s="341"/>
      <c r="AL165" s="341"/>
      <c r="AM165" s="349"/>
      <c r="AN165" s="466"/>
      <c r="AO165" s="341"/>
      <c r="AP165" s="341"/>
      <c r="AQ165" s="341"/>
      <c r="AR165" s="341"/>
      <c r="AS165" s="349"/>
      <c r="AT165" s="466"/>
      <c r="AU165" s="341"/>
      <c r="AV165" s="341"/>
      <c r="AW165" s="341"/>
      <c r="AX165" s="341"/>
      <c r="AY165" s="349"/>
      <c r="AZ165" s="466"/>
      <c r="BA165" s="341"/>
      <c r="BB165" s="341"/>
      <c r="BC165" s="341"/>
      <c r="BD165" s="341"/>
      <c r="BE165" s="349"/>
      <c r="BF165" s="466"/>
      <c r="BG165" s="341"/>
      <c r="BH165" s="341"/>
      <c r="BI165" s="341"/>
      <c r="BJ165" s="341"/>
      <c r="BK165" s="349"/>
      <c r="BL165" s="466"/>
      <c r="BM165" s="341"/>
      <c r="BN165" s="341"/>
      <c r="BO165" s="341"/>
      <c r="BP165" s="341"/>
      <c r="BQ165" s="349"/>
      <c r="BR165" s="315"/>
      <c r="BS165" s="315"/>
      <c r="BT165" s="315"/>
      <c r="BU165" s="315"/>
      <c r="BV165" s="315"/>
      <c r="BW165" s="315"/>
      <c r="BX165" s="315"/>
      <c r="BY165" s="315"/>
      <c r="BZ165" s="315"/>
    </row>
    <row r="166" spans="1:78" ht="15" customHeight="1">
      <c r="A166" s="340"/>
      <c r="C166" s="233"/>
      <c r="U166" s="110" t="s">
        <v>325</v>
      </c>
      <c r="V166" s="467" t="s">
        <v>183</v>
      </c>
      <c r="W166" s="490"/>
      <c r="AA166" s="346"/>
      <c r="AB166" s="467" t="s">
        <v>183</v>
      </c>
      <c r="AC166" s="490"/>
      <c r="AG166" s="346"/>
      <c r="AH166" s="467" t="s">
        <v>183</v>
      </c>
      <c r="AI166" s="490"/>
      <c r="AM166" s="346"/>
      <c r="AN166" s="467" t="s">
        <v>183</v>
      </c>
      <c r="AO166" s="490"/>
      <c r="AS166" s="346"/>
      <c r="AT166" s="467" t="s">
        <v>183</v>
      </c>
      <c r="AU166" s="490"/>
      <c r="AY166" s="346"/>
      <c r="AZ166" s="467" t="s">
        <v>183</v>
      </c>
      <c r="BA166" s="490"/>
      <c r="BE166" s="346"/>
      <c r="BF166" s="467" t="s">
        <v>183</v>
      </c>
      <c r="BG166" s="490"/>
      <c r="BK166" s="346"/>
      <c r="BL166" s="467" t="s">
        <v>183</v>
      </c>
      <c r="BM166" s="490"/>
      <c r="BQ166" s="346"/>
      <c r="BR166" s="315"/>
      <c r="BS166" s="315"/>
      <c r="BT166" s="315"/>
      <c r="BU166" s="315"/>
      <c r="BV166" s="315"/>
      <c r="BW166" s="315"/>
      <c r="BX166" s="315"/>
      <c r="BY166" s="315"/>
      <c r="BZ166" s="315"/>
    </row>
    <row r="167" spans="1:78" ht="15" customHeight="1">
      <c r="A167" s="340"/>
      <c r="C167" s="233"/>
      <c r="U167" s="110" t="s">
        <v>323</v>
      </c>
      <c r="V167" s="469" t="str">
        <f>IF(OR(V$156=1,$C159=1),"",SUM(MCAin!$R$21:$R$22)/2)</f>
        <v/>
      </c>
      <c r="W167" s="344"/>
      <c r="X167" s="344"/>
      <c r="Y167" s="344"/>
      <c r="Z167" s="344"/>
      <c r="AA167" s="348"/>
      <c r="AB167" s="469" t="str">
        <f>IF(OR(AB$156=1,$C159=1),"",SUM(MCAin!$S$21:$S$22)/2)</f>
        <v/>
      </c>
      <c r="AC167" s="344"/>
      <c r="AD167" s="344"/>
      <c r="AE167" s="344"/>
      <c r="AF167" s="344"/>
      <c r="AG167" s="348"/>
      <c r="AH167" s="469" t="str">
        <f>IF(OR(AH$156=1,$C159=1),"",SUM(MCAin!$T$21:$T$22)/2)</f>
        <v/>
      </c>
      <c r="AI167" s="344"/>
      <c r="AJ167" s="344"/>
      <c r="AK167" s="344"/>
      <c r="AL167" s="344"/>
      <c r="AM167" s="348"/>
      <c r="AN167" s="469" t="str">
        <f>IF(OR(AN$156=1,$C159=1),"",SUM(MCAin!$U$21:$U$22)/2)</f>
        <v/>
      </c>
      <c r="AO167" s="344"/>
      <c r="AP167" s="344"/>
      <c r="AQ167" s="344"/>
      <c r="AR167" s="344"/>
      <c r="AS167" s="348"/>
      <c r="AT167" s="469" t="str">
        <f>IF(OR(AT$156=1,$C159=1),"",SUM(MCAin!$V$21:$V$22)/2)</f>
        <v/>
      </c>
      <c r="AU167" s="344"/>
      <c r="AV167" s="344"/>
      <c r="AW167" s="344"/>
      <c r="AX167" s="344"/>
      <c r="AY167" s="348"/>
      <c r="AZ167" s="469" t="str">
        <f>IF(OR(AZ$156=1,$C159=1),"",SUM(MCAin!$W$21:$W$22)/2)</f>
        <v/>
      </c>
      <c r="BA167" s="344"/>
      <c r="BB167" s="344"/>
      <c r="BC167" s="344"/>
      <c r="BD167" s="344"/>
      <c r="BE167" s="348"/>
      <c r="BF167" s="469" t="str">
        <f>IF(OR(BF$156=1,$C159=1),"",SUM(MCAin!$X$21:$X$22)/2)</f>
        <v/>
      </c>
      <c r="BG167" s="344"/>
      <c r="BH167" s="344"/>
      <c r="BI167" s="344"/>
      <c r="BJ167" s="344"/>
      <c r="BK167" s="348"/>
      <c r="BL167" s="469" t="str">
        <f>IF(OR(BL$156=1,$C159=1),"",SUM(MCAin!$Y$21:$Y$22)/2)</f>
        <v/>
      </c>
      <c r="BM167" s="344"/>
      <c r="BN167" s="344"/>
      <c r="BO167" s="344"/>
      <c r="BP167" s="344"/>
      <c r="BQ167" s="348"/>
      <c r="BR167" s="315"/>
      <c r="BS167" s="315"/>
      <c r="BT167" s="315"/>
      <c r="BU167" s="315"/>
      <c r="BV167" s="315"/>
      <c r="BW167" s="315"/>
      <c r="BX167" s="315"/>
      <c r="BY167" s="315"/>
      <c r="BZ167" s="315"/>
    </row>
    <row r="168" spans="1:78" ht="15" customHeight="1">
      <c r="A168" s="340"/>
      <c r="C168" s="233"/>
      <c r="U168" s="110" t="s">
        <v>324</v>
      </c>
      <c r="V168" s="468" t="str">
        <f>IF(OR(V$156=1,$C160=1),"",SUM(MCAin!$R$26:$R$80)/29)</f>
        <v/>
      </c>
      <c r="W168" s="351"/>
      <c r="X168" s="344"/>
      <c r="Y168" s="344"/>
      <c r="Z168" s="344"/>
      <c r="AA168" s="348"/>
      <c r="AB168" s="468" t="str">
        <f>IF(OR(AB$156=1,$C160=1),"",SUM(MCAin!$S$26:$S$80)/29)</f>
        <v/>
      </c>
      <c r="AC168" s="351"/>
      <c r="AD168" s="344"/>
      <c r="AE168" s="344"/>
      <c r="AF168" s="344"/>
      <c r="AG168" s="348"/>
      <c r="AH168" s="468" t="str">
        <f>IF(OR(AH$156=1,$C160=1),"",SUM(MCAin!$T$26:$T$80)/29)</f>
        <v/>
      </c>
      <c r="AI168" s="351"/>
      <c r="AJ168" s="344"/>
      <c r="AK168" s="344"/>
      <c r="AL168" s="344"/>
      <c r="AM168" s="348"/>
      <c r="AN168" s="468" t="str">
        <f>IF(OR(AN$156=1,$C160=1),"",SUM(MCAin!$U$26:$U$80)/29)</f>
        <v/>
      </c>
      <c r="AO168" s="351"/>
      <c r="AP168" s="344"/>
      <c r="AQ168" s="344"/>
      <c r="AR168" s="344"/>
      <c r="AS168" s="348"/>
      <c r="AT168" s="468" t="str">
        <f>IF(OR(AT$156=1,$C160=1),"",SUM(MCAin!$V$26:$V$80)/29)</f>
        <v/>
      </c>
      <c r="AU168" s="351"/>
      <c r="AV168" s="344"/>
      <c r="AW168" s="344"/>
      <c r="AX168" s="344"/>
      <c r="AY168" s="348"/>
      <c r="AZ168" s="468" t="str">
        <f>IF(OR(AZ$156=1,$C160=1),"",SUM(MCAin!$W$26:$W$80)/29)</f>
        <v/>
      </c>
      <c r="BA168" s="351"/>
      <c r="BB168" s="344"/>
      <c r="BC168" s="344"/>
      <c r="BD168" s="344"/>
      <c r="BE168" s="348"/>
      <c r="BF168" s="468" t="str">
        <f>IF(OR(BF$156=1,$C160=1),"",SUM(MCAin!$X$26:$X$80)/29)</f>
        <v/>
      </c>
      <c r="BG168" s="351"/>
      <c r="BH168" s="344"/>
      <c r="BI168" s="344"/>
      <c r="BJ168" s="344"/>
      <c r="BK168" s="348"/>
      <c r="BL168" s="468" t="str">
        <f>IF(OR(BL$156=1,$C160=1),"",SUM(MCAin!$Y$26:$Y$80)/29)</f>
        <v/>
      </c>
      <c r="BM168" s="351"/>
      <c r="BN168" s="344"/>
      <c r="BO168" s="344"/>
      <c r="BP168" s="344"/>
      <c r="BQ168" s="348"/>
      <c r="BR168" s="315"/>
      <c r="BS168" s="315"/>
      <c r="BT168" s="315"/>
      <c r="BU168" s="315"/>
      <c r="BV168" s="315"/>
      <c r="BW168" s="315"/>
      <c r="BX168" s="315"/>
      <c r="BY168" s="315"/>
      <c r="BZ168" s="315"/>
    </row>
    <row r="169" spans="1:78" s="314" customFormat="1" ht="15" customHeight="1">
      <c r="A169" s="332"/>
      <c r="C169" s="233"/>
      <c r="U169" s="110" t="s">
        <v>226</v>
      </c>
      <c r="V169" s="468" t="str">
        <f>IF(OR(V$156=1,$C161=1),"",SUM(MCAin!$R84:$R142)/18)</f>
        <v/>
      </c>
      <c r="W169" s="351"/>
      <c r="X169" s="344"/>
      <c r="Y169" s="344"/>
      <c r="Z169" s="344"/>
      <c r="AA169" s="348"/>
      <c r="AB169" s="468" t="str">
        <f>IF(OR(AB$156=1,$C161=1),"",SUM(MCAin!$S84:$S142)/18)</f>
        <v/>
      </c>
      <c r="AC169" s="351"/>
      <c r="AD169" s="344"/>
      <c r="AE169" s="344"/>
      <c r="AF169" s="344"/>
      <c r="AG169" s="348"/>
      <c r="AH169" s="468" t="str">
        <f>IF(OR(AH$156=1,$C161=1),"",SUM(MCAin!$T84:$T142)/18)</f>
        <v/>
      </c>
      <c r="AI169" s="351"/>
      <c r="AJ169" s="344"/>
      <c r="AK169" s="344"/>
      <c r="AL169" s="344"/>
      <c r="AM169" s="348"/>
      <c r="AN169" s="468" t="str">
        <f>IF(OR(AN$156=1,$C161=1),"",SUM(MCAin!$U84:$U142)/18)</f>
        <v/>
      </c>
      <c r="AO169" s="351"/>
      <c r="AP169" s="344"/>
      <c r="AQ169" s="344"/>
      <c r="AR169" s="344"/>
      <c r="AS169" s="348"/>
      <c r="AT169" s="468" t="str">
        <f>IF(OR(AT$156=1,$C161=1),"",SUM(MCAin!$V84:$V142)/18)</f>
        <v/>
      </c>
      <c r="AU169" s="351"/>
      <c r="AV169" s="344"/>
      <c r="AW169" s="344"/>
      <c r="AX169" s="344"/>
      <c r="AY169" s="348"/>
      <c r="AZ169" s="468" t="str">
        <f>IF(OR(AZ$156=1,$C161=1),"",SUM(MCAin!$W84:$W142)/18)</f>
        <v/>
      </c>
      <c r="BA169" s="351"/>
      <c r="BB169" s="344"/>
      <c r="BC169" s="344"/>
      <c r="BD169" s="344"/>
      <c r="BE169" s="348"/>
      <c r="BF169" s="468" t="str">
        <f>IF(OR(BF$156=1,$C161=1),"",SUM(MCAin!$X84:$X142)/18)</f>
        <v/>
      </c>
      <c r="BG169" s="351"/>
      <c r="BH169" s="344"/>
      <c r="BI169" s="344"/>
      <c r="BJ169" s="344"/>
      <c r="BK169" s="348"/>
      <c r="BL169" s="468" t="str">
        <f>IF(OR(BL$156=1,$C161=1),"",SUM(MCAin!$Y84:$Y142)/18)</f>
        <v/>
      </c>
      <c r="BM169" s="351"/>
      <c r="BN169" s="344"/>
      <c r="BO169" s="344"/>
      <c r="BP169" s="344"/>
      <c r="BQ169" s="348"/>
    </row>
    <row r="170" spans="1:78" s="314" customFormat="1" ht="15" customHeight="1">
      <c r="A170" s="332"/>
      <c r="C170" s="233"/>
      <c r="U170" s="110" t="s">
        <v>21</v>
      </c>
      <c r="V170" s="468" t="str">
        <f>IF(OR(V$156=1,$C162=1),"",SUM(MCAin!$R$146:$R$149)/4)</f>
        <v/>
      </c>
      <c r="W170" s="351"/>
      <c r="X170" s="344"/>
      <c r="Y170" s="344"/>
      <c r="Z170" s="344"/>
      <c r="AA170" s="348"/>
      <c r="AB170" s="468" t="str">
        <f>IF(OR(AB$156=1,$C162=1),"",SUM(MCAin!$S$146:$S$149)/4)</f>
        <v/>
      </c>
      <c r="AC170" s="351"/>
      <c r="AD170" s="344"/>
      <c r="AE170" s="344"/>
      <c r="AF170" s="344"/>
      <c r="AG170" s="348"/>
      <c r="AH170" s="468" t="str">
        <f>IF(OR(AH$156=1,$C162=1),"",SUM(MCAin!$T$146:$T$149)/4)</f>
        <v/>
      </c>
      <c r="AI170" s="351"/>
      <c r="AJ170" s="344"/>
      <c r="AK170" s="344"/>
      <c r="AL170" s="344"/>
      <c r="AM170" s="348"/>
      <c r="AN170" s="468" t="str">
        <f>IF(OR(AN$156=1,$C162=1),"",SUM(MCAin!$U$146:$U$149)/4)</f>
        <v/>
      </c>
      <c r="AO170" s="351"/>
      <c r="AP170" s="344"/>
      <c r="AQ170" s="344"/>
      <c r="AR170" s="344"/>
      <c r="AS170" s="348"/>
      <c r="AT170" s="468" t="str">
        <f>IF(OR(AT$156=1,$C162=1),"",SUM(MCAin!$V$146:$V$149)/4)</f>
        <v/>
      </c>
      <c r="AU170" s="351"/>
      <c r="AV170" s="344"/>
      <c r="AW170" s="344"/>
      <c r="AX170" s="344"/>
      <c r="AY170" s="348"/>
      <c r="AZ170" s="468" t="str">
        <f>IF(OR(AZ$156=1,$C162=1),"",SUM(MCAin!$W$146:$W$149)/4)</f>
        <v/>
      </c>
      <c r="BA170" s="351"/>
      <c r="BB170" s="344"/>
      <c r="BC170" s="344"/>
      <c r="BD170" s="344"/>
      <c r="BE170" s="348"/>
      <c r="BF170" s="468" t="str">
        <f>IF(OR(BF$156=1,$C162=1),"",SUM(MCAin!$X$146:$X$149)/4)</f>
        <v/>
      </c>
      <c r="BG170" s="351"/>
      <c r="BH170" s="344"/>
      <c r="BI170" s="344"/>
      <c r="BJ170" s="344"/>
      <c r="BK170" s="348"/>
      <c r="BL170" s="468" t="str">
        <f>IF(OR(BL$156=1,$C162=1),"",SUM(MCAin!$Y$146:$Y$149)/4)</f>
        <v/>
      </c>
      <c r="BM170" s="351"/>
      <c r="BN170" s="344"/>
      <c r="BO170" s="344"/>
      <c r="BP170" s="344"/>
      <c r="BQ170" s="348"/>
    </row>
    <row r="171" spans="1:78" s="314" customFormat="1" ht="15" customHeight="1">
      <c r="A171" s="332"/>
      <c r="C171" s="233"/>
      <c r="U171" s="110" t="s">
        <v>24</v>
      </c>
      <c r="V171" s="468" t="str">
        <f>IF(OR(V$156=1,$C163=1),"",SUM(MCAin!$R$151:$R$160)/6)</f>
        <v/>
      </c>
      <c r="W171" s="351"/>
      <c r="X171" s="344"/>
      <c r="Y171" s="344"/>
      <c r="Z171" s="344"/>
      <c r="AA171" s="348"/>
      <c r="AB171" s="468" t="str">
        <f>IF(OR(AB$156=1,$C163=1),"",SUM(MCAin!$S$151:$S$160)/6)</f>
        <v/>
      </c>
      <c r="AC171" s="351"/>
      <c r="AD171" s="344"/>
      <c r="AE171" s="344"/>
      <c r="AF171" s="344"/>
      <c r="AG171" s="348"/>
      <c r="AH171" s="468" t="str">
        <f>IF(OR(AH$156=1,$C163=1),"",SUM(MCAin!$T$151:$T$160)/6)</f>
        <v/>
      </c>
      <c r="AI171" s="351"/>
      <c r="AJ171" s="344"/>
      <c r="AK171" s="344"/>
      <c r="AL171" s="344"/>
      <c r="AM171" s="348"/>
      <c r="AN171" s="468" t="str">
        <f>IF(OR(AN$156=1,$C163=1),"",SUM(MCAin!$U$151:$U$160)/6)</f>
        <v/>
      </c>
      <c r="AO171" s="351"/>
      <c r="AP171" s="344"/>
      <c r="AQ171" s="344"/>
      <c r="AR171" s="344"/>
      <c r="AS171" s="348"/>
      <c r="AT171" s="468" t="str">
        <f>IF(OR(AT$156=1,$C163=1),"",SUM(MCAin!$V$151:$V$160)/6)</f>
        <v/>
      </c>
      <c r="AU171" s="351"/>
      <c r="AV171" s="344"/>
      <c r="AW171" s="344"/>
      <c r="AX171" s="344"/>
      <c r="AY171" s="348"/>
      <c r="AZ171" s="468" t="str">
        <f>IF(OR(AZ$156=1,$C163=1),"",SUM(MCAin!$W$151:$W$160)/6)</f>
        <v/>
      </c>
      <c r="BA171" s="351"/>
      <c r="BB171" s="344"/>
      <c r="BC171" s="344"/>
      <c r="BD171" s="344"/>
      <c r="BE171" s="348"/>
      <c r="BF171" s="468" t="str">
        <f>IF(OR(BF$156=1,$C163=1),"",SUM(MCAin!$X$151:$X$160)/6)</f>
        <v/>
      </c>
      <c r="BG171" s="351"/>
      <c r="BH171" s="344"/>
      <c r="BI171" s="344"/>
      <c r="BJ171" s="344"/>
      <c r="BK171" s="348"/>
      <c r="BL171" s="468" t="str">
        <f>IF(OR(BL$156=1,$C163=1),"",SUM(MCAin!$Y$151:$Y$160)/6)</f>
        <v/>
      </c>
      <c r="BM171" s="351"/>
      <c r="BN171" s="344"/>
      <c r="BO171" s="344"/>
      <c r="BP171" s="344"/>
      <c r="BQ171" s="348"/>
    </row>
    <row r="172" spans="1:78" s="314" customFormat="1" ht="15" customHeight="1">
      <c r="A172" s="332"/>
      <c r="C172" s="233"/>
      <c r="U172" s="110" t="s">
        <v>25</v>
      </c>
      <c r="V172" s="469" t="str">
        <f>IF(OR(V$156=1,$C164=1),"",SUM(MCAin!$R$162:$R$170)/7)</f>
        <v/>
      </c>
      <c r="W172" s="352"/>
      <c r="X172" s="344"/>
      <c r="Y172" s="344"/>
      <c r="Z172" s="344"/>
      <c r="AA172" s="348"/>
      <c r="AB172" s="469" t="str">
        <f>IF(OR(AB$156=1,$C164=1),"",SUM(MCAin!$S$162:$S$170)/7)</f>
        <v/>
      </c>
      <c r="AC172" s="352"/>
      <c r="AD172" s="344"/>
      <c r="AE172" s="344"/>
      <c r="AF172" s="344"/>
      <c r="AG172" s="348"/>
      <c r="AH172" s="469" t="str">
        <f>IF(OR(AH$156=1,$C164=1),"",SUM(MCAin!$T$162:$T$170)/7)</f>
        <v/>
      </c>
      <c r="AI172" s="352"/>
      <c r="AJ172" s="344"/>
      <c r="AK172" s="344"/>
      <c r="AL172" s="344"/>
      <c r="AM172" s="348"/>
      <c r="AN172" s="469" t="str">
        <f>IF(OR(AN$156=1,$C164=1),"",SUM(MCAin!$U$162:$U$170)/7)</f>
        <v/>
      </c>
      <c r="AO172" s="352"/>
      <c r="AP172" s="344"/>
      <c r="AQ172" s="344"/>
      <c r="AR172" s="344"/>
      <c r="AS172" s="348"/>
      <c r="AT172" s="469" t="str">
        <f>IF(OR(AT$156=1,$C164=1),"",SUM(MCAin!$V$162:$V$170)/7)</f>
        <v/>
      </c>
      <c r="AU172" s="352"/>
      <c r="AV172" s="344"/>
      <c r="AW172" s="344"/>
      <c r="AX172" s="344"/>
      <c r="AY172" s="348"/>
      <c r="AZ172" s="469" t="str">
        <f>IF(OR(AZ$156=1,$C164=1),"",SUM(MCAin!$W$162:$W$170)/7)</f>
        <v/>
      </c>
      <c r="BA172" s="352"/>
      <c r="BB172" s="344"/>
      <c r="BC172" s="344"/>
      <c r="BD172" s="344"/>
      <c r="BE172" s="348"/>
      <c r="BF172" s="469" t="str">
        <f>IF(OR(BF$156=1,$C164=1),"",SUM(MCAin!$X$162:$X$170)/7)</f>
        <v/>
      </c>
      <c r="BG172" s="352"/>
      <c r="BH172" s="344"/>
      <c r="BI172" s="344"/>
      <c r="BJ172" s="344"/>
      <c r="BK172" s="348"/>
      <c r="BL172" s="469" t="str">
        <f>IF(OR(BL$156=1,$C164=1),"",SUM(MCAin!$Y$162:$Y$170)/7)</f>
        <v/>
      </c>
      <c r="BM172" s="352"/>
      <c r="BN172" s="344"/>
      <c r="BO172" s="344"/>
      <c r="BP172" s="344"/>
      <c r="BQ172" s="348"/>
    </row>
    <row r="173" spans="1:78" s="314" customFormat="1" ht="15" customHeight="1">
      <c r="B173" s="110"/>
      <c r="C173" s="233"/>
      <c r="V173" s="428"/>
      <c r="AA173" s="346"/>
      <c r="AB173" s="428"/>
      <c r="AG173" s="346"/>
      <c r="AH173" s="428"/>
      <c r="AM173" s="346"/>
      <c r="AN173" s="428"/>
      <c r="AS173" s="346"/>
      <c r="AT173" s="428"/>
      <c r="AY173" s="346"/>
      <c r="AZ173" s="428"/>
      <c r="BE173" s="346"/>
      <c r="BF173" s="428"/>
      <c r="BK173" s="346"/>
      <c r="BL173" s="428"/>
      <c r="BQ173" s="346"/>
    </row>
    <row r="174" spans="1:78" s="314" customFormat="1" ht="15" customHeight="1">
      <c r="V174" s="467" t="s">
        <v>171</v>
      </c>
      <c r="W174" s="490"/>
      <c r="X174" s="344"/>
      <c r="Y174" s="344"/>
      <c r="Z174" s="344"/>
      <c r="AA174" s="348"/>
      <c r="AB174" s="467" t="s">
        <v>171</v>
      </c>
      <c r="AC174" s="490"/>
      <c r="AD174" s="344"/>
      <c r="AE174" s="344"/>
      <c r="AF174" s="344"/>
      <c r="AG174" s="348"/>
      <c r="AH174" s="467" t="s">
        <v>171</v>
      </c>
      <c r="AI174" s="490"/>
      <c r="AJ174" s="344"/>
      <c r="AK174" s="344"/>
      <c r="AL174" s="344"/>
      <c r="AM174" s="348"/>
      <c r="AN174" s="467" t="s">
        <v>171</v>
      </c>
      <c r="AO174" s="490"/>
      <c r="AP174" s="344"/>
      <c r="AQ174" s="344"/>
      <c r="AR174" s="344"/>
      <c r="AS174" s="348"/>
      <c r="AT174" s="467" t="s">
        <v>171</v>
      </c>
      <c r="AU174" s="490"/>
      <c r="AV174" s="344"/>
      <c r="AW174" s="344"/>
      <c r="AX174" s="344"/>
      <c r="AY174" s="348"/>
      <c r="AZ174" s="467" t="s">
        <v>171</v>
      </c>
      <c r="BA174" s="490"/>
      <c r="BB174" s="344"/>
      <c r="BC174" s="344"/>
      <c r="BD174" s="344"/>
      <c r="BE174" s="348"/>
      <c r="BF174" s="467" t="s">
        <v>171</v>
      </c>
      <c r="BG174" s="490"/>
      <c r="BH174" s="344"/>
      <c r="BI174" s="344"/>
      <c r="BJ174" s="344"/>
      <c r="BK174" s="348"/>
      <c r="BL174" s="467" t="s">
        <v>171</v>
      </c>
      <c r="BM174" s="490"/>
      <c r="BN174" s="344"/>
      <c r="BO174" s="344"/>
      <c r="BP174" s="344"/>
      <c r="BQ174" s="348"/>
    </row>
    <row r="175" spans="1:78" s="314" customFormat="1" ht="15" customHeight="1">
      <c r="U175" s="342" t="s">
        <v>322</v>
      </c>
      <c r="V175" s="465" t="str">
        <f>IF(OR(V156=1,code0=""),"",SUMPRODUCT(V159:V164,V167:V172)/SUM(V167:V172))</f>
        <v/>
      </c>
      <c r="W175" s="343" t="str">
        <f>IF(OR(V156=1,code1=""),"",SUMPRODUCT(W159:W164,V167:V172)/SUM(V167:V172))</f>
        <v/>
      </c>
      <c r="X175" s="343" t="str">
        <f>IF(OR(V156=1,code2=""),"",SUMPRODUCT(X159:X164,V167:V172)/SUM(V167:V172))</f>
        <v/>
      </c>
      <c r="Y175" s="343" t="str">
        <f>IF(OR(V156=1,code3=""),"",SUMPRODUCT(Y159:Y164,V167:V172)/SUM(V167:V172))</f>
        <v/>
      </c>
      <c r="Z175" s="343" t="str">
        <f>IF(OR(V156=1,code4=""),"",SUMPRODUCT(Z159:Z164,V167:V172)/SUM(V167:V172))</f>
        <v/>
      </c>
      <c r="AA175" s="350" t="str">
        <f>IF(OR(V156=1,code5=""),"",SUMPRODUCT(AA159:AA164,V167:V172)/SUM(V167:V172))</f>
        <v/>
      </c>
      <c r="AB175" s="465" t="str">
        <f>IF(OR(AB156=1,code0=""),"",SUMPRODUCT(AB159:AB164,AB167:AB172)/SUM(AB167:AB172))</f>
        <v/>
      </c>
      <c r="AC175" s="343" t="str">
        <f>IF(OR(AB156=1,code1=""),"",SUMPRODUCT(AC159:AC164,AB167:AB172)/SUM(AB167:AB172))</f>
        <v/>
      </c>
      <c r="AD175" s="343" t="str">
        <f>IF(OR(AB156=1,code2=""),"",SUMPRODUCT(AD159:AD164,AB167:AB172)/SUM(AB167:AB172))</f>
        <v/>
      </c>
      <c r="AE175" s="343" t="str">
        <f>IF(OR(AB156=1,code3=""),"",SUMPRODUCT(AE159:AE164,AB167:AB172)/SUM(AB167:AB172))</f>
        <v/>
      </c>
      <c r="AF175" s="343" t="str">
        <f>IF(OR(AB156=1,code4=""),"",SUMPRODUCT(AF159:AF164,AB167:AB172)/SUM(AB167:AB172))</f>
        <v/>
      </c>
      <c r="AG175" s="350" t="str">
        <f>IF(OR(AB156=1,code5=""),"",SUMPRODUCT(AG159:AG164,AB167:AB172)/SUM(AB167:AB172))</f>
        <v/>
      </c>
      <c r="AH175" s="465" t="str">
        <f>IF(OR(AH156=1,code0=""),"",SUMPRODUCT(AH159:AH164,AH167:AH172)/SUM(AH167:AH172))</f>
        <v/>
      </c>
      <c r="AI175" s="343" t="str">
        <f>IF(OR(AH156=1,code1=""),"",SUMPRODUCT(AI159:AI164,AH167:AH172)/SUM(AH167:AH172))</f>
        <v/>
      </c>
      <c r="AJ175" s="343" t="str">
        <f>IF(OR(AH156=1,code2=""),"",SUMPRODUCT(AJ159:AJ164,AH167:AH172)/SUM(AH167:AH172))</f>
        <v/>
      </c>
      <c r="AK175" s="343" t="str">
        <f>IF(OR(AH156=1,code3=""),"",SUMPRODUCT(AK159:AK164,AH167:AH172)/SUM(AH167:AH172))</f>
        <v/>
      </c>
      <c r="AL175" s="343" t="str">
        <f>IF(OR(AH156=1,code4=""),"",SUMPRODUCT(AL159:AL164,AH167:AH172)/SUM(AH167:AH172))</f>
        <v/>
      </c>
      <c r="AM175" s="350" t="str">
        <f>IF(OR(AH156=1,code5=""),"",SUMPRODUCT(AM159:AM164,AH167:AH172)/SUM(AH167:AH172))</f>
        <v/>
      </c>
      <c r="AN175" s="465" t="str">
        <f>IF(OR(AN156=1,code0=""),"",SUMPRODUCT(AN159:AN164,AN167:AN172)/SUM(AN167:AN172))</f>
        <v/>
      </c>
      <c r="AO175" s="343" t="str">
        <f>IF(OR(AN156=1,code1=""),"",SUMPRODUCT(AO159:AO164,AN167:AN172)/SUM(AN167:AN172))</f>
        <v/>
      </c>
      <c r="AP175" s="343" t="str">
        <f>IF(OR(AN156=1,code2=""),"",SUMPRODUCT(AP159:AP164,AN167:AN172)/SUM(AN167:AN172))</f>
        <v/>
      </c>
      <c r="AQ175" s="343" t="str">
        <f>IF(OR(AN156=1,code3=""),"",SUMPRODUCT(AQ159:AQ164,AN167:AN172)/SUM(AN167:AN172))</f>
        <v/>
      </c>
      <c r="AR175" s="343" t="str">
        <f>IF(OR(AN156=1,code4=""),"",SUMPRODUCT(AR159:AR164,AN167:AN172)/SUM(AN167:AN172))</f>
        <v/>
      </c>
      <c r="AS175" s="350" t="str">
        <f>IF(OR(AN156=1,code5=""),"",SUMPRODUCT(AS159:AS164,AN167:AN172)/SUM(AN167:AN172))</f>
        <v/>
      </c>
      <c r="AT175" s="465" t="str">
        <f>IF(OR(AT156=1,code0=""),"",SUMPRODUCT(AT159:AT164,AT167:AT172)/SUM(AT167:AT172))</f>
        <v/>
      </c>
      <c r="AU175" s="343" t="str">
        <f>IF(OR(AT156=1,code1=""),"",SUMPRODUCT(AU159:AU164,AT167:AT172)/SUM(AT167:AT172))</f>
        <v/>
      </c>
      <c r="AV175" s="343" t="str">
        <f>IF(OR(AT156=1,code2=""),"",SUMPRODUCT(AV159:AV164,AT167:AT172)/SUM(AT167:AT172))</f>
        <v/>
      </c>
      <c r="AW175" s="343" t="str">
        <f>IF(OR(AT156=1,code3=""),"",SUMPRODUCT(AW159:AW164,AT167:AT172)/SUM(AT167:AT172))</f>
        <v/>
      </c>
      <c r="AX175" s="343" t="str">
        <f>IF(OR(AT156=1,code4=""),"",SUMPRODUCT(AX159:AX164,AT167:AT172)/SUM(AT167:AT172))</f>
        <v/>
      </c>
      <c r="AY175" s="350" t="str">
        <f>IF(OR(AT156=1,code5=""),"",SUMPRODUCT(AY159:AY164,AT167:AT172)/SUM(AT167:AT172))</f>
        <v/>
      </c>
      <c r="AZ175" s="465" t="str">
        <f>IF(OR(AZ156=1,code0=""),"",SUMPRODUCT(AZ159:AZ164,AZ167:AZ172)/SUM(AZ167:AZ172))</f>
        <v/>
      </c>
      <c r="BA175" s="343" t="str">
        <f>IF(OR(AZ156=1,code1=""),"",SUMPRODUCT(BA159:BA164,AZ167:AZ172)/SUM(AZ167:AZ172))</f>
        <v/>
      </c>
      <c r="BB175" s="343" t="str">
        <f>IF(OR(AZ156=1,code2=""),"",SUMPRODUCT(BB159:BB164,AZ167:AZ172)/SUM(AZ167:AZ172))</f>
        <v/>
      </c>
      <c r="BC175" s="343" t="str">
        <f>IF(OR(AZ156=1,code3=""),"",SUMPRODUCT(BC159:BC164,AZ167:AZ172)/SUM(AZ167:AZ172))</f>
        <v/>
      </c>
      <c r="BD175" s="343" t="str">
        <f>IF(OR(AZ156=1,code4=""),"",SUMPRODUCT(BD159:BD164,AZ167:AZ172)/SUM(AZ167:AZ172))</f>
        <v/>
      </c>
      <c r="BE175" s="350" t="str">
        <f>IF(OR(AZ156=1,code5=""),"",SUMPRODUCT(BE159:BE164,AZ167:AZ172)/SUM(AZ167:AZ172))</f>
        <v/>
      </c>
      <c r="BF175" s="465" t="str">
        <f>IF(OR(BF156=1,code0=""),"",SUMPRODUCT(BF159:BF164,BF167:BF172)/SUM(BF167:BF172))</f>
        <v/>
      </c>
      <c r="BG175" s="343" t="str">
        <f>IF(OR(BF156=1,code1=""),"",SUMPRODUCT(BG159:BG164,BF167:BF172)/SUM(BF167:BF172))</f>
        <v/>
      </c>
      <c r="BH175" s="343" t="str">
        <f>IF(OR(BF156=1,code2=""),"",SUMPRODUCT(BH159:BH164,BF167:BF172)/SUM(BF167:BF172))</f>
        <v/>
      </c>
      <c r="BI175" s="343" t="str">
        <f>IF(OR(BF156=1,code3=""),"",SUMPRODUCT(BI159:BI164,BF167:BF172)/SUM(BF167:BF172))</f>
        <v/>
      </c>
      <c r="BJ175" s="343" t="str">
        <f>IF(OR(BF156=1,code4=""),"",SUMPRODUCT(BJ159:BJ164,BF167:BF172)/SUM(BF167:BF172))</f>
        <v/>
      </c>
      <c r="BK175" s="350" t="str">
        <f>IF(OR(BF156=1,code5=""),"",SUMPRODUCT(BK159:BK164,BF167:BF172)/SUM(BF167:BF172))</f>
        <v/>
      </c>
      <c r="BL175" s="465" t="str">
        <f>IF(OR(BL156=1,code0=""),"",SUMPRODUCT(BL159:BL164,BL167:BL172)/SUM(BL167:BL172))</f>
        <v/>
      </c>
      <c r="BM175" s="343" t="str">
        <f>IF(OR(BL156=1,code1=""),"",SUMPRODUCT(BM159:BM164,BL167:BL172)/SUM(BL167:BL172))</f>
        <v/>
      </c>
      <c r="BN175" s="343" t="str">
        <f>IF(OR(BL156=1,code2=""),"",SUMPRODUCT(BN159:BN164,BL167:BL172)/SUM(BL167:BL172))</f>
        <v/>
      </c>
      <c r="BO175" s="343" t="str">
        <f>IF(OR(BL156=1,code3=""),"",SUMPRODUCT(BO159:BO164,BL167:BL172)/SUM(BL167:BL172))</f>
        <v/>
      </c>
      <c r="BP175" s="343" t="str">
        <f>IF(OR(BL156=1,code4=""),"",SUMPRODUCT(BP159:BP164,BL167:BL172)/SUM(BL167:BL172))</f>
        <v/>
      </c>
      <c r="BQ175" s="350" t="str">
        <f>IF(OR(BL156=1,code5=""),"",SUMPRODUCT(BQ159:BQ164,BL167:BL172)/SUM(BL167:BL172))</f>
        <v/>
      </c>
    </row>
    <row r="176" spans="1:78" s="314" customFormat="1" ht="15" customHeight="1"/>
    <row r="177" s="315" customFormat="1" ht="15" customHeight="1"/>
    <row r="178" s="315" customFormat="1"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X31"/>
  <sheetViews>
    <sheetView zoomScale="80" zoomScaleNormal="80" workbookViewId="0">
      <selection activeCell="B2" sqref="B2:O2"/>
    </sheetView>
  </sheetViews>
  <sheetFormatPr defaultColWidth="0" defaultRowHeight="0" customHeight="1" zeroHeight="1"/>
  <cols>
    <col min="1" max="1" width="3.85546875" style="28" customWidth="1"/>
    <col min="2" max="2" width="2.42578125" style="28" customWidth="1"/>
    <col min="3" max="4" width="12.5703125" style="28" customWidth="1"/>
    <col min="5" max="5" width="15.5703125" style="28" customWidth="1"/>
    <col min="6" max="14" width="12.5703125" style="28" customWidth="1"/>
    <col min="15" max="15" width="2.5703125" style="28" customWidth="1"/>
    <col min="16" max="16" width="3.7109375" style="28" customWidth="1"/>
    <col min="17" max="24" width="0" style="28" hidden="1" customWidth="1"/>
    <col min="25" max="16384" width="8.85546875" style="28" hidden="1"/>
  </cols>
  <sheetData>
    <row r="1" spans="1:19" ht="15" customHeight="1" thickBot="1">
      <c r="P1" s="29"/>
      <c r="Q1" s="29"/>
      <c r="R1" s="29"/>
      <c r="S1" s="29"/>
    </row>
    <row r="2" spans="1:19" ht="45" customHeight="1" thickBot="1">
      <c r="A2" s="29"/>
      <c r="B2" s="971" t="s">
        <v>0</v>
      </c>
      <c r="C2" s="972"/>
      <c r="D2" s="972"/>
      <c r="E2" s="972"/>
      <c r="F2" s="972"/>
      <c r="G2" s="972"/>
      <c r="H2" s="972"/>
      <c r="I2" s="972"/>
      <c r="J2" s="972"/>
      <c r="K2" s="972"/>
      <c r="L2" s="972"/>
      <c r="M2" s="972"/>
      <c r="N2" s="972"/>
      <c r="O2" s="973"/>
      <c r="P2" s="29"/>
      <c r="Q2" s="29"/>
      <c r="R2" s="29"/>
      <c r="S2" s="29"/>
    </row>
    <row r="3" spans="1:19" ht="9.9499999999999993" customHeight="1">
      <c r="B3" s="30"/>
      <c r="C3" s="40"/>
      <c r="D3" s="29"/>
      <c r="E3" s="29"/>
      <c r="F3" s="29"/>
      <c r="G3" s="29"/>
      <c r="H3" s="29"/>
      <c r="I3" s="29"/>
      <c r="J3" s="29"/>
      <c r="K3" s="29"/>
      <c r="L3" s="29"/>
      <c r="M3" s="29"/>
      <c r="N3" s="29"/>
      <c r="O3" s="31"/>
      <c r="P3" s="29"/>
      <c r="Q3" s="29"/>
      <c r="R3" s="29"/>
      <c r="S3" s="29"/>
    </row>
    <row r="4" spans="1:19" ht="15" customHeight="1">
      <c r="B4" s="30"/>
      <c r="C4" s="41" t="s">
        <v>55</v>
      </c>
      <c r="D4" s="27"/>
      <c r="E4" s="27"/>
      <c r="F4" s="27"/>
      <c r="G4" s="27"/>
      <c r="H4" s="27"/>
      <c r="I4" s="27"/>
      <c r="J4" s="27"/>
      <c r="K4" s="27"/>
      <c r="L4" s="27"/>
      <c r="M4" s="27"/>
      <c r="N4" s="27"/>
      <c r="O4" s="31"/>
      <c r="P4" s="29"/>
      <c r="Q4" s="29"/>
      <c r="R4" s="29"/>
      <c r="S4" s="29"/>
    </row>
    <row r="5" spans="1:19" ht="9.9499999999999993" customHeight="1">
      <c r="B5" s="32"/>
      <c r="C5" s="27"/>
      <c r="D5" s="27"/>
      <c r="E5" s="27"/>
      <c r="F5" s="27"/>
      <c r="G5" s="27"/>
      <c r="H5" s="27"/>
      <c r="I5" s="27"/>
      <c r="J5" s="27"/>
      <c r="K5" s="27"/>
      <c r="L5" s="27"/>
      <c r="M5" s="27"/>
      <c r="N5" s="27"/>
      <c r="O5" s="31"/>
      <c r="P5" s="29"/>
      <c r="Q5" s="29"/>
      <c r="R5" s="29"/>
      <c r="S5" s="29"/>
    </row>
    <row r="6" spans="1:19" ht="15" customHeight="1">
      <c r="B6" s="24"/>
      <c r="C6" s="974" t="s">
        <v>595</v>
      </c>
      <c r="D6" s="974"/>
      <c r="E6" s="974"/>
      <c r="F6" s="974"/>
      <c r="G6" s="974"/>
      <c r="H6" s="974"/>
      <c r="I6" s="974"/>
      <c r="J6" s="974"/>
      <c r="K6" s="974"/>
      <c r="L6" s="974"/>
      <c r="M6" s="974"/>
      <c r="N6" s="974"/>
      <c r="O6" s="20"/>
      <c r="P6" s="29"/>
      <c r="Q6" s="29"/>
      <c r="R6" s="29"/>
      <c r="S6" s="29"/>
    </row>
    <row r="7" spans="1:19" ht="15" customHeight="1">
      <c r="B7" s="24"/>
      <c r="C7" s="974"/>
      <c r="D7" s="974"/>
      <c r="E7" s="974"/>
      <c r="F7" s="974"/>
      <c r="G7" s="974"/>
      <c r="H7" s="974"/>
      <c r="I7" s="974"/>
      <c r="J7" s="974"/>
      <c r="K7" s="974"/>
      <c r="L7" s="974"/>
      <c r="M7" s="974"/>
      <c r="N7" s="974"/>
      <c r="O7" s="20"/>
      <c r="P7" s="29"/>
      <c r="Q7" s="29"/>
      <c r="R7" s="29"/>
      <c r="S7" s="29"/>
    </row>
    <row r="8" spans="1:19" ht="5.25" customHeight="1">
      <c r="B8" s="24"/>
      <c r="C8" s="128"/>
      <c r="D8" s="128"/>
      <c r="E8" s="128"/>
      <c r="F8" s="128"/>
      <c r="G8" s="128"/>
      <c r="H8" s="128"/>
      <c r="I8" s="128"/>
      <c r="J8" s="128"/>
      <c r="K8" s="128"/>
      <c r="L8" s="128"/>
      <c r="M8" s="690"/>
      <c r="N8" s="128"/>
      <c r="O8" s="20"/>
      <c r="P8" s="29"/>
      <c r="Q8" s="29"/>
      <c r="R8" s="29"/>
      <c r="S8" s="29"/>
    </row>
    <row r="9" spans="1:19" ht="15" customHeight="1">
      <c r="B9" s="24"/>
      <c r="C9" s="974" t="s">
        <v>574</v>
      </c>
      <c r="D9" s="974"/>
      <c r="E9" s="974"/>
      <c r="F9" s="974"/>
      <c r="G9" s="974"/>
      <c r="H9" s="974"/>
      <c r="I9" s="974"/>
      <c r="J9" s="974"/>
      <c r="K9" s="974"/>
      <c r="L9" s="974"/>
      <c r="M9" s="974"/>
      <c r="N9" s="974"/>
      <c r="O9" s="20"/>
      <c r="P9" s="29"/>
      <c r="Q9" s="29"/>
      <c r="R9" s="29"/>
      <c r="S9" s="29"/>
    </row>
    <row r="10" spans="1:19" ht="15" customHeight="1">
      <c r="B10" s="24"/>
      <c r="C10" s="235"/>
      <c r="D10" s="47" t="s">
        <v>184</v>
      </c>
      <c r="E10" s="560"/>
      <c r="F10" s="974" t="s">
        <v>575</v>
      </c>
      <c r="G10" s="974"/>
      <c r="H10" s="974"/>
      <c r="I10" s="974"/>
      <c r="J10" s="974"/>
      <c r="K10" s="974"/>
      <c r="L10" s="974"/>
      <c r="M10" s="974"/>
      <c r="N10" s="974"/>
      <c r="O10" s="20"/>
      <c r="P10" s="29"/>
      <c r="Q10" s="29"/>
      <c r="R10" s="29"/>
      <c r="S10" s="29"/>
    </row>
    <row r="11" spans="1:19" ht="15" customHeight="1">
      <c r="B11" s="33"/>
      <c r="C11" s="27"/>
      <c r="D11" s="47" t="s">
        <v>72</v>
      </c>
      <c r="E11" s="27"/>
      <c r="F11" s="974" t="s">
        <v>576</v>
      </c>
      <c r="G11" s="974"/>
      <c r="H11" s="974"/>
      <c r="I11" s="974"/>
      <c r="J11" s="974"/>
      <c r="K11" s="974"/>
      <c r="L11" s="974"/>
      <c r="M11" s="974"/>
      <c r="N11" s="974"/>
      <c r="O11" s="31"/>
      <c r="P11" s="29"/>
      <c r="Q11" s="29"/>
      <c r="R11" s="29"/>
      <c r="S11" s="29"/>
    </row>
    <row r="12" spans="1:19" ht="15" customHeight="1">
      <c r="B12" s="33"/>
      <c r="C12" s="27"/>
      <c r="D12" s="47" t="s">
        <v>74</v>
      </c>
      <c r="E12" s="27"/>
      <c r="F12" s="974" t="s">
        <v>577</v>
      </c>
      <c r="G12" s="974"/>
      <c r="H12" s="974"/>
      <c r="I12" s="974"/>
      <c r="J12" s="974"/>
      <c r="K12" s="974"/>
      <c r="L12" s="974"/>
      <c r="M12" s="974"/>
      <c r="N12" s="974"/>
      <c r="O12" s="31"/>
      <c r="P12" s="29"/>
      <c r="Q12" s="29"/>
      <c r="R12" s="29"/>
      <c r="S12" s="29"/>
    </row>
    <row r="13" spans="1:19" ht="21">
      <c r="B13" s="33"/>
      <c r="C13" s="27"/>
      <c r="D13" s="47"/>
      <c r="E13" s="27"/>
      <c r="F13" s="974"/>
      <c r="G13" s="974"/>
      <c r="H13" s="974"/>
      <c r="I13" s="974"/>
      <c r="J13" s="974"/>
      <c r="K13" s="974"/>
      <c r="L13" s="974"/>
      <c r="M13" s="974"/>
      <c r="N13" s="974"/>
      <c r="O13" s="31"/>
      <c r="P13" s="29"/>
      <c r="Q13" s="29"/>
      <c r="R13" s="29"/>
      <c r="S13" s="29"/>
    </row>
    <row r="14" spans="1:19" ht="15" customHeight="1">
      <c r="B14" s="33"/>
      <c r="C14" s="27"/>
      <c r="D14" s="27"/>
      <c r="E14" s="27"/>
      <c r="F14" s="27"/>
      <c r="G14" s="27"/>
      <c r="H14" s="27"/>
      <c r="I14" s="27"/>
      <c r="J14" s="27"/>
      <c r="K14" s="27"/>
      <c r="L14" s="27"/>
      <c r="M14" s="27"/>
      <c r="N14" s="27"/>
      <c r="O14" s="31"/>
      <c r="P14" s="29"/>
      <c r="Q14" s="29"/>
      <c r="R14" s="29"/>
      <c r="S14" s="29"/>
    </row>
    <row r="15" spans="1:19" ht="15" customHeight="1">
      <c r="B15" s="33"/>
      <c r="C15" s="41" t="s">
        <v>1</v>
      </c>
      <c r="D15" s="35"/>
      <c r="E15" s="35"/>
      <c r="F15" s="35"/>
      <c r="G15" s="35"/>
      <c r="H15" s="35"/>
      <c r="I15" s="35"/>
      <c r="J15" s="35"/>
      <c r="K15" s="35"/>
      <c r="L15" s="35"/>
      <c r="M15" s="35"/>
      <c r="N15" s="35"/>
      <c r="O15" s="31"/>
      <c r="P15" s="29"/>
      <c r="Q15" s="29"/>
      <c r="R15" s="29"/>
      <c r="S15" s="29"/>
    </row>
    <row r="16" spans="1:19" ht="9.9499999999999993" customHeight="1">
      <c r="B16" s="34"/>
      <c r="C16" s="27"/>
      <c r="D16" s="35"/>
      <c r="E16" s="27"/>
      <c r="F16" s="35"/>
      <c r="G16" s="35"/>
      <c r="H16" s="35"/>
      <c r="I16" s="35"/>
      <c r="J16" s="35"/>
      <c r="K16" s="35"/>
      <c r="L16" s="35"/>
      <c r="M16" s="35"/>
      <c r="N16" s="35"/>
      <c r="O16" s="36"/>
      <c r="P16" s="29"/>
      <c r="Q16" s="29"/>
      <c r="R16" s="29"/>
      <c r="S16" s="29"/>
    </row>
    <row r="17" spans="2:19" ht="15" customHeight="1">
      <c r="B17" s="30"/>
      <c r="C17" s="974" t="s">
        <v>578</v>
      </c>
      <c r="D17" s="974"/>
      <c r="E17" s="974"/>
      <c r="F17" s="974"/>
      <c r="G17" s="974"/>
      <c r="H17" s="974"/>
      <c r="I17" s="974"/>
      <c r="J17" s="974"/>
      <c r="K17" s="974"/>
      <c r="L17" s="974"/>
      <c r="M17" s="974"/>
      <c r="N17" s="974"/>
      <c r="O17" s="36"/>
      <c r="P17" s="29"/>
      <c r="Q17" s="29"/>
      <c r="R17" s="29"/>
      <c r="S17" s="29"/>
    </row>
    <row r="18" spans="2:19" ht="15" customHeight="1">
      <c r="B18" s="30"/>
      <c r="C18" s="974"/>
      <c r="D18" s="974"/>
      <c r="E18" s="974"/>
      <c r="F18" s="974"/>
      <c r="G18" s="974"/>
      <c r="H18" s="974"/>
      <c r="I18" s="974"/>
      <c r="J18" s="974"/>
      <c r="K18" s="974"/>
      <c r="L18" s="974"/>
      <c r="M18" s="974"/>
      <c r="N18" s="974"/>
      <c r="O18" s="31"/>
      <c r="P18" s="29"/>
      <c r="Q18" s="29"/>
      <c r="R18" s="29"/>
      <c r="S18" s="29"/>
    </row>
    <row r="19" spans="2:19" ht="15" customHeight="1">
      <c r="B19" s="30"/>
      <c r="C19" s="974"/>
      <c r="D19" s="974"/>
      <c r="E19" s="974"/>
      <c r="F19" s="974"/>
      <c r="G19" s="974"/>
      <c r="H19" s="974"/>
      <c r="I19" s="974"/>
      <c r="J19" s="974"/>
      <c r="K19" s="974"/>
      <c r="L19" s="974"/>
      <c r="M19" s="974"/>
      <c r="N19" s="974"/>
      <c r="O19" s="31"/>
      <c r="P19" s="29"/>
      <c r="Q19" s="29"/>
      <c r="R19" s="29"/>
      <c r="S19" s="29"/>
    </row>
    <row r="20" spans="2:19" ht="6.75" customHeight="1">
      <c r="B20" s="30"/>
      <c r="C20" s="560"/>
      <c r="D20" s="560"/>
      <c r="E20" s="560"/>
      <c r="F20" s="560"/>
      <c r="G20" s="560"/>
      <c r="H20" s="560"/>
      <c r="I20" s="560"/>
      <c r="J20" s="560"/>
      <c r="K20" s="560"/>
      <c r="L20" s="560"/>
      <c r="M20" s="689"/>
      <c r="N20" s="560"/>
      <c r="O20" s="31"/>
      <c r="P20" s="29"/>
      <c r="Q20" s="29"/>
      <c r="R20" s="29"/>
      <c r="S20" s="29"/>
    </row>
    <row r="21" spans="2:19" ht="15" customHeight="1">
      <c r="B21" s="30"/>
      <c r="C21" s="974" t="s">
        <v>194</v>
      </c>
      <c r="D21" s="974"/>
      <c r="E21" s="974"/>
      <c r="F21" s="974"/>
      <c r="G21" s="974"/>
      <c r="H21" s="974"/>
      <c r="I21" s="974"/>
      <c r="J21" s="974"/>
      <c r="K21" s="974"/>
      <c r="L21" s="974"/>
      <c r="M21" s="974"/>
      <c r="N21" s="974"/>
      <c r="O21" s="31"/>
      <c r="P21" s="29"/>
      <c r="Q21" s="29"/>
      <c r="R21" s="29"/>
      <c r="S21" s="29"/>
    </row>
    <row r="22" spans="2:19" ht="22.5" customHeight="1">
      <c r="B22" s="30"/>
      <c r="C22" s="974"/>
      <c r="D22" s="974"/>
      <c r="E22" s="974"/>
      <c r="F22" s="974"/>
      <c r="G22" s="974"/>
      <c r="H22" s="974"/>
      <c r="I22" s="974"/>
      <c r="J22" s="974"/>
      <c r="K22" s="974"/>
      <c r="L22" s="974"/>
      <c r="M22" s="974"/>
      <c r="N22" s="974"/>
      <c r="O22" s="31"/>
      <c r="P22" s="29"/>
      <c r="Q22" s="29"/>
      <c r="R22" s="29"/>
      <c r="S22" s="29"/>
    </row>
    <row r="23" spans="2:19" ht="7.5" customHeight="1">
      <c r="B23" s="30"/>
      <c r="C23" s="27"/>
      <c r="D23" s="27"/>
      <c r="E23" s="27"/>
      <c r="F23" s="27"/>
      <c r="G23" s="27"/>
      <c r="H23" s="27"/>
      <c r="I23" s="27"/>
      <c r="J23" s="27"/>
      <c r="K23" s="27"/>
      <c r="L23" s="27"/>
      <c r="M23" s="27"/>
      <c r="N23" s="27"/>
      <c r="O23" s="31"/>
      <c r="P23" s="29"/>
      <c r="Q23" s="29"/>
      <c r="R23" s="29"/>
      <c r="S23" s="29"/>
    </row>
    <row r="24" spans="2:19" ht="15" customHeight="1">
      <c r="B24" s="30"/>
      <c r="C24" s="41" t="s">
        <v>566</v>
      </c>
      <c r="D24" s="26"/>
      <c r="E24" s="26"/>
      <c r="F24" s="26"/>
      <c r="G24" s="26"/>
      <c r="H24" s="26"/>
      <c r="I24" s="26"/>
      <c r="J24" s="26"/>
      <c r="K24" s="26"/>
      <c r="L24" s="26"/>
      <c r="M24" s="26"/>
      <c r="N24" s="26"/>
      <c r="O24" s="31"/>
      <c r="P24" s="29"/>
      <c r="Q24" s="29"/>
      <c r="R24" s="29"/>
      <c r="S24" s="29"/>
    </row>
    <row r="25" spans="2:19" ht="9.9499999999999993" customHeight="1">
      <c r="B25" s="30"/>
      <c r="C25" s="27"/>
      <c r="D25" s="26"/>
      <c r="E25" s="26"/>
      <c r="F25" s="26"/>
      <c r="G25" s="26"/>
      <c r="H25" s="26"/>
      <c r="I25" s="26"/>
      <c r="J25" s="26"/>
      <c r="K25" s="26"/>
      <c r="L25" s="26"/>
      <c r="M25" s="26"/>
      <c r="N25" s="26"/>
      <c r="O25" s="31"/>
      <c r="P25" s="29"/>
      <c r="Q25" s="29"/>
      <c r="R25" s="29"/>
      <c r="S25" s="29"/>
    </row>
    <row r="26" spans="2:19" ht="15" customHeight="1">
      <c r="B26" s="30"/>
      <c r="C26" s="975" t="s">
        <v>579</v>
      </c>
      <c r="D26" s="975"/>
      <c r="E26" s="975"/>
      <c r="F26" s="975"/>
      <c r="G26" s="975"/>
      <c r="H26" s="975"/>
      <c r="I26" s="975"/>
      <c r="J26" s="975"/>
      <c r="K26" s="975"/>
      <c r="L26" s="975"/>
      <c r="M26" s="975"/>
      <c r="N26" s="975"/>
      <c r="O26" s="31"/>
      <c r="P26" s="29"/>
      <c r="Q26" s="29"/>
      <c r="R26" s="29"/>
      <c r="S26" s="29"/>
    </row>
    <row r="27" spans="2:19" ht="15" customHeight="1">
      <c r="B27" s="30"/>
      <c r="C27" s="9" t="s">
        <v>2</v>
      </c>
      <c r="D27" s="29"/>
      <c r="E27" s="29"/>
      <c r="F27" s="29"/>
      <c r="G27" s="29"/>
      <c r="H27" s="29"/>
      <c r="I27" s="29"/>
      <c r="J27" s="29"/>
      <c r="K27" s="29"/>
      <c r="L27" s="29"/>
      <c r="M27" s="29"/>
      <c r="N27" s="29"/>
      <c r="O27" s="31"/>
      <c r="P27" s="29"/>
      <c r="Q27" s="29"/>
      <c r="R27" s="29"/>
      <c r="S27" s="29"/>
    </row>
    <row r="28" spans="2:19" ht="15" customHeight="1" thickBot="1">
      <c r="B28" s="37"/>
      <c r="C28" s="38"/>
      <c r="D28" s="38"/>
      <c r="E28" s="38"/>
      <c r="F28" s="38"/>
      <c r="G28" s="38"/>
      <c r="H28" s="38"/>
      <c r="I28" s="38"/>
      <c r="J28" s="38"/>
      <c r="K28" s="38"/>
      <c r="L28" s="38"/>
      <c r="M28" s="38"/>
      <c r="N28" s="38"/>
      <c r="O28" s="39"/>
    </row>
    <row r="29" spans="2:19" ht="15" customHeight="1"/>
    <row r="30" spans="2:19" ht="15" hidden="1" customHeight="1"/>
    <row r="31" spans="2:19" ht="15" customHeight="1"/>
  </sheetData>
  <mergeCells count="9">
    <mergeCell ref="B2:O2"/>
    <mergeCell ref="C17:N19"/>
    <mergeCell ref="C21:N22"/>
    <mergeCell ref="C26:N26"/>
    <mergeCell ref="C6:N7"/>
    <mergeCell ref="C9:N9"/>
    <mergeCell ref="F11:N11"/>
    <mergeCell ref="F12:N13"/>
    <mergeCell ref="F10:N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Z56"/>
  <sheetViews>
    <sheetView tabSelected="1" zoomScale="80" zoomScaleNormal="80" workbookViewId="0">
      <selection activeCell="B2" sqref="B2:Q2"/>
    </sheetView>
  </sheetViews>
  <sheetFormatPr defaultColWidth="0" defaultRowHeight="0" customHeight="1" zeroHeight="1"/>
  <cols>
    <col min="1" max="1" width="3.85546875" style="28" customWidth="1"/>
    <col min="2" max="2" width="2.42578125" style="28" customWidth="1"/>
    <col min="3" max="3" width="3.7109375" style="28" customWidth="1"/>
    <col min="4" max="4" width="8.85546875" style="28" customWidth="1"/>
    <col min="5" max="5" width="11.5703125" style="28" customWidth="1"/>
    <col min="6" max="6" width="1.5703125" style="28" customWidth="1"/>
    <col min="7" max="7" width="10.42578125" style="28" customWidth="1"/>
    <col min="8" max="8" width="8.85546875" style="28" customWidth="1"/>
    <col min="9" max="9" width="3.7109375" style="28" customWidth="1"/>
    <col min="10" max="15" width="8.85546875" style="28" customWidth="1"/>
    <col min="16" max="16" width="18.42578125" style="28" customWidth="1"/>
    <col min="17" max="17" width="2.5703125" style="28" customWidth="1"/>
    <col min="18" max="18" width="3.7109375" style="28" customWidth="1"/>
    <col min="19" max="26" width="0" style="28" hidden="1" customWidth="1"/>
    <col min="27" max="16384" width="8.85546875" style="28" hidden="1"/>
  </cols>
  <sheetData>
    <row r="1" spans="1:21" ht="15" customHeight="1" thickBot="1">
      <c r="R1" s="29"/>
      <c r="S1" s="29"/>
      <c r="T1" s="29"/>
      <c r="U1" s="29"/>
    </row>
    <row r="2" spans="1:21" ht="30" customHeight="1" thickBot="1">
      <c r="A2" s="29"/>
      <c r="B2" s="976" t="s">
        <v>593</v>
      </c>
      <c r="C2" s="977"/>
      <c r="D2" s="977"/>
      <c r="E2" s="977"/>
      <c r="F2" s="977"/>
      <c r="G2" s="977"/>
      <c r="H2" s="977"/>
      <c r="I2" s="977"/>
      <c r="J2" s="977"/>
      <c r="K2" s="977"/>
      <c r="L2" s="977"/>
      <c r="M2" s="977"/>
      <c r="N2" s="977"/>
      <c r="O2" s="977"/>
      <c r="P2" s="977"/>
      <c r="Q2" s="978"/>
      <c r="R2" s="29"/>
      <c r="S2" s="29"/>
      <c r="T2" s="29"/>
      <c r="U2" s="29"/>
    </row>
    <row r="3" spans="1:21" ht="8.25" customHeight="1">
      <c r="A3" s="29"/>
      <c r="B3" s="130"/>
      <c r="C3" s="131"/>
      <c r="D3" s="131"/>
      <c r="E3" s="131"/>
      <c r="F3" s="131"/>
      <c r="G3" s="131"/>
      <c r="H3" s="131"/>
      <c r="I3" s="131"/>
      <c r="J3" s="131"/>
      <c r="K3" s="131"/>
      <c r="L3" s="131"/>
      <c r="M3" s="131"/>
      <c r="N3" s="131"/>
      <c r="O3" s="131"/>
      <c r="P3" s="131"/>
      <c r="Q3" s="132"/>
      <c r="R3" s="29"/>
      <c r="S3" s="29"/>
      <c r="T3" s="29"/>
      <c r="U3" s="29"/>
    </row>
    <row r="4" spans="1:21" ht="15" customHeight="1">
      <c r="A4" s="29"/>
      <c r="B4" s="42"/>
      <c r="C4" s="41" t="s">
        <v>594</v>
      </c>
      <c r="D4" s="43"/>
      <c r="E4" s="43"/>
      <c r="F4" s="43"/>
      <c r="G4" s="43"/>
      <c r="H4" s="43"/>
      <c r="I4" s="43"/>
      <c r="J4" s="43"/>
      <c r="K4" s="43"/>
      <c r="L4" s="43"/>
      <c r="M4" s="43"/>
      <c r="N4" s="43"/>
      <c r="O4" s="43"/>
      <c r="P4" s="43"/>
      <c r="Q4" s="44"/>
      <c r="R4" s="29"/>
      <c r="S4" s="29"/>
      <c r="T4" s="29"/>
      <c r="U4" s="29"/>
    </row>
    <row r="5" spans="1:21" ht="8.25" customHeight="1">
      <c r="B5" s="30"/>
      <c r="C5" s="40"/>
      <c r="D5" s="29"/>
      <c r="E5" s="29"/>
      <c r="F5" s="29"/>
      <c r="G5" s="29"/>
      <c r="H5" s="29"/>
      <c r="I5" s="29"/>
      <c r="J5" s="29"/>
      <c r="K5" s="29"/>
      <c r="L5" s="29"/>
      <c r="M5" s="29"/>
      <c r="N5" s="29"/>
      <c r="O5" s="29"/>
      <c r="P5" s="29"/>
      <c r="Q5" s="31"/>
      <c r="R5" s="29"/>
      <c r="S5" s="29"/>
      <c r="T5" s="29"/>
      <c r="U5" s="29"/>
    </row>
    <row r="6" spans="1:21" ht="15" customHeight="1">
      <c r="A6" s="29"/>
      <c r="B6" s="33"/>
      <c r="C6" s="143" t="s">
        <v>79</v>
      </c>
      <c r="D6" s="974" t="s">
        <v>580</v>
      </c>
      <c r="E6" s="974"/>
      <c r="F6" s="974"/>
      <c r="G6" s="974"/>
      <c r="H6" s="974"/>
      <c r="I6" s="974"/>
      <c r="J6" s="974"/>
      <c r="K6" s="974"/>
      <c r="L6" s="974"/>
      <c r="M6" s="974"/>
      <c r="N6" s="974"/>
      <c r="O6" s="974"/>
      <c r="P6" s="974"/>
      <c r="Q6" s="31"/>
      <c r="R6" s="29"/>
      <c r="S6" s="29"/>
      <c r="T6" s="29"/>
      <c r="U6" s="29"/>
    </row>
    <row r="7" spans="1:21" ht="15" customHeight="1">
      <c r="A7" s="29"/>
      <c r="B7" s="32"/>
      <c r="C7" s="116"/>
      <c r="D7" s="974"/>
      <c r="E7" s="974"/>
      <c r="F7" s="974"/>
      <c r="G7" s="974"/>
      <c r="H7" s="974"/>
      <c r="I7" s="974"/>
      <c r="J7" s="974"/>
      <c r="K7" s="974"/>
      <c r="L7" s="974"/>
      <c r="M7" s="974"/>
      <c r="N7" s="974"/>
      <c r="O7" s="974"/>
      <c r="P7" s="974"/>
      <c r="Q7" s="31"/>
      <c r="R7" s="29"/>
      <c r="S7" s="29"/>
      <c r="T7" s="29"/>
      <c r="U7" s="29"/>
    </row>
    <row r="8" spans="1:21" ht="15" customHeight="1">
      <c r="A8" s="29"/>
      <c r="B8" s="32"/>
      <c r="C8" s="116"/>
      <c r="D8" s="974"/>
      <c r="E8" s="974"/>
      <c r="F8" s="974"/>
      <c r="G8" s="974"/>
      <c r="H8" s="974"/>
      <c r="I8" s="974"/>
      <c r="J8" s="974"/>
      <c r="K8" s="974"/>
      <c r="L8" s="974"/>
      <c r="M8" s="974"/>
      <c r="N8" s="974"/>
      <c r="O8" s="974"/>
      <c r="P8" s="974"/>
      <c r="Q8" s="31"/>
      <c r="R8" s="29"/>
      <c r="S8" s="29"/>
      <c r="T8" s="29"/>
      <c r="U8" s="29"/>
    </row>
    <row r="9" spans="1:21" ht="17.25" customHeight="1">
      <c r="A9" s="29"/>
      <c r="B9" s="32"/>
      <c r="C9" s="236"/>
      <c r="D9" s="974"/>
      <c r="E9" s="974"/>
      <c r="F9" s="974"/>
      <c r="G9" s="974"/>
      <c r="H9" s="974"/>
      <c r="I9" s="974"/>
      <c r="J9" s="974"/>
      <c r="K9" s="974"/>
      <c r="L9" s="974"/>
      <c r="M9" s="974"/>
      <c r="N9" s="974"/>
      <c r="O9" s="974"/>
      <c r="P9" s="974"/>
      <c r="Q9" s="31"/>
      <c r="R9" s="29"/>
      <c r="S9" s="29"/>
      <c r="T9" s="29"/>
      <c r="U9" s="29"/>
    </row>
    <row r="10" spans="1:21" ht="30" customHeight="1">
      <c r="A10" s="29"/>
      <c r="B10" s="144"/>
      <c r="C10" s="143" t="s">
        <v>79</v>
      </c>
      <c r="D10" s="974" t="s">
        <v>596</v>
      </c>
      <c r="E10" s="974"/>
      <c r="F10" s="974"/>
      <c r="G10" s="974"/>
      <c r="H10" s="974"/>
      <c r="I10" s="974"/>
      <c r="J10" s="974"/>
      <c r="K10" s="974"/>
      <c r="L10" s="974"/>
      <c r="M10" s="974"/>
      <c r="N10" s="974"/>
      <c r="O10" s="974"/>
      <c r="P10" s="974"/>
      <c r="Q10" s="31"/>
      <c r="R10" s="29"/>
      <c r="S10" s="29"/>
      <c r="T10" s="29"/>
      <c r="U10" s="29"/>
    </row>
    <row r="11" spans="1:21" ht="30" customHeight="1">
      <c r="A11" s="29"/>
      <c r="B11" s="144"/>
      <c r="C11" s="143" t="s">
        <v>79</v>
      </c>
      <c r="D11" s="974" t="s">
        <v>581</v>
      </c>
      <c r="E11" s="974"/>
      <c r="F11" s="974"/>
      <c r="G11" s="974"/>
      <c r="H11" s="974"/>
      <c r="I11" s="974"/>
      <c r="J11" s="974"/>
      <c r="K11" s="974"/>
      <c r="L11" s="974"/>
      <c r="M11" s="974"/>
      <c r="N11" s="974"/>
      <c r="O11" s="974"/>
      <c r="P11" s="974"/>
      <c r="Q11" s="31"/>
      <c r="R11" s="29"/>
      <c r="S11" s="29"/>
      <c r="T11" s="29"/>
      <c r="U11" s="29"/>
    </row>
    <row r="12" spans="1:21" s="134" customFormat="1" ht="30" customHeight="1">
      <c r="A12" s="136"/>
      <c r="B12" s="144"/>
      <c r="C12" s="143" t="s">
        <v>79</v>
      </c>
      <c r="D12" s="1004" t="s">
        <v>582</v>
      </c>
      <c r="E12" s="1004"/>
      <c r="F12" s="1004"/>
      <c r="G12" s="1004"/>
      <c r="H12" s="1004"/>
      <c r="I12" s="1004"/>
      <c r="J12" s="1004"/>
      <c r="K12" s="1004"/>
      <c r="L12" s="1004"/>
      <c r="M12" s="1004"/>
      <c r="N12" s="1004"/>
      <c r="O12" s="1004"/>
      <c r="P12" s="1004"/>
      <c r="Q12" s="135"/>
      <c r="R12" s="136"/>
      <c r="S12" s="136"/>
      <c r="T12" s="136"/>
      <c r="U12" s="136"/>
    </row>
    <row r="13" spans="1:21" ht="15" customHeight="1">
      <c r="B13" s="32"/>
      <c r="C13" s="116"/>
      <c r="D13" s="116"/>
      <c r="E13" s="116"/>
      <c r="F13" s="116"/>
      <c r="G13" s="116"/>
      <c r="H13" s="116"/>
      <c r="I13" s="116"/>
      <c r="J13" s="116"/>
      <c r="K13" s="116"/>
      <c r="L13" s="116"/>
      <c r="M13" s="116"/>
      <c r="N13" s="116"/>
      <c r="O13" s="116"/>
      <c r="P13" s="116"/>
      <c r="Q13" s="31"/>
      <c r="R13" s="29"/>
      <c r="S13" s="29"/>
      <c r="T13" s="29"/>
      <c r="U13" s="29"/>
    </row>
    <row r="14" spans="1:21" ht="15" customHeight="1">
      <c r="B14" s="24"/>
      <c r="C14" s="41" t="s">
        <v>3</v>
      </c>
      <c r="D14" s="97"/>
      <c r="E14" s="97"/>
      <c r="F14" s="97"/>
      <c r="G14" s="97"/>
      <c r="H14" s="97"/>
      <c r="I14" s="97"/>
      <c r="J14" s="97"/>
      <c r="K14" s="97"/>
      <c r="L14" s="97"/>
      <c r="M14" s="97"/>
      <c r="N14" s="97"/>
      <c r="O14" s="97"/>
      <c r="P14" s="97"/>
      <c r="Q14" s="20"/>
      <c r="R14" s="29"/>
      <c r="S14" s="29"/>
      <c r="T14" s="29"/>
      <c r="U14" s="29"/>
    </row>
    <row r="15" spans="1:21" ht="9.9499999999999993" customHeight="1">
      <c r="B15" s="24"/>
      <c r="C15" s="97"/>
      <c r="D15" s="97"/>
      <c r="E15" s="97"/>
      <c r="F15" s="97"/>
      <c r="G15" s="97"/>
      <c r="H15" s="97"/>
      <c r="I15" s="97"/>
      <c r="J15" s="97"/>
      <c r="K15" s="97"/>
      <c r="L15" s="97"/>
      <c r="M15" s="97"/>
      <c r="N15" s="97"/>
      <c r="O15" s="97"/>
      <c r="P15" s="97"/>
      <c r="Q15" s="20"/>
      <c r="R15" s="29"/>
      <c r="S15" s="29"/>
      <c r="T15" s="29"/>
      <c r="U15" s="29"/>
    </row>
    <row r="16" spans="1:21" ht="15" customHeight="1">
      <c r="B16" s="24"/>
      <c r="C16" s="63" t="s">
        <v>76</v>
      </c>
      <c r="D16" s="97"/>
      <c r="E16" s="97"/>
      <c r="F16" s="97"/>
      <c r="G16" s="97"/>
      <c r="H16" s="97"/>
      <c r="I16" s="97"/>
      <c r="J16" s="97"/>
      <c r="K16" s="97"/>
      <c r="L16" s="97"/>
      <c r="M16" s="97"/>
      <c r="N16" s="97"/>
      <c r="O16" s="97"/>
      <c r="P16" s="97"/>
      <c r="Q16" s="20"/>
      <c r="R16" s="29"/>
      <c r="S16" s="29"/>
      <c r="T16" s="29"/>
      <c r="U16" s="29"/>
    </row>
    <row r="17" spans="2:21" ht="9.9499999999999993" customHeight="1">
      <c r="B17" s="24"/>
      <c r="C17" s="145"/>
      <c r="D17" s="97"/>
      <c r="E17" s="97"/>
      <c r="F17" s="97"/>
      <c r="G17" s="97"/>
      <c r="H17" s="97"/>
      <c r="I17" s="97"/>
      <c r="J17" s="97"/>
      <c r="K17" s="97"/>
      <c r="L17" s="97"/>
      <c r="M17" s="97"/>
      <c r="N17" s="97"/>
      <c r="O17" s="97"/>
      <c r="P17" s="97"/>
      <c r="Q17" s="20"/>
      <c r="R17" s="29"/>
      <c r="S17" s="29"/>
      <c r="T17" s="29"/>
      <c r="U17" s="29"/>
    </row>
    <row r="18" spans="2:21" ht="15" customHeight="1">
      <c r="B18" s="24"/>
      <c r="C18" s="97"/>
      <c r="D18" s="1003" t="s">
        <v>63</v>
      </c>
      <c r="E18" s="1003"/>
      <c r="F18" s="119"/>
      <c r="G18" s="85" t="s">
        <v>56</v>
      </c>
      <c r="H18" s="118" t="s">
        <v>57</v>
      </c>
      <c r="I18" s="59"/>
      <c r="J18" s="117"/>
      <c r="K18" s="117"/>
      <c r="L18" s="117"/>
      <c r="M18" s="117"/>
      <c r="N18" s="117"/>
      <c r="O18" s="117"/>
      <c r="P18" s="117"/>
      <c r="Q18" s="20"/>
      <c r="R18" s="29"/>
      <c r="S18" s="29"/>
      <c r="T18" s="29"/>
      <c r="U18" s="29"/>
    </row>
    <row r="19" spans="2:21" ht="5.25" customHeight="1" thickBot="1">
      <c r="B19" s="24"/>
      <c r="C19" s="97"/>
      <c r="D19" s="119"/>
      <c r="E19" s="119"/>
      <c r="F19" s="119"/>
      <c r="G19" s="47"/>
      <c r="H19" s="110"/>
      <c r="I19" s="29"/>
      <c r="J19" s="97"/>
      <c r="K19" s="97"/>
      <c r="L19" s="97"/>
      <c r="M19" s="97"/>
      <c r="N19" s="97"/>
      <c r="O19" s="97"/>
      <c r="P19" s="97"/>
      <c r="Q19" s="20"/>
      <c r="R19" s="29"/>
      <c r="S19" s="29"/>
      <c r="T19" s="29"/>
      <c r="U19" s="29"/>
    </row>
    <row r="20" spans="2:21" ht="15" customHeight="1">
      <c r="B20" s="24"/>
      <c r="C20" s="97"/>
      <c r="D20" s="979" t="s">
        <v>58</v>
      </c>
      <c r="E20" s="980"/>
      <c r="F20" s="106"/>
      <c r="G20" s="217" t="s">
        <v>584</v>
      </c>
      <c r="H20" s="46" t="s">
        <v>60</v>
      </c>
      <c r="I20" s="97"/>
      <c r="J20" s="97"/>
      <c r="K20" s="97"/>
      <c r="L20" s="97"/>
      <c r="M20" s="97"/>
      <c r="N20" s="97"/>
      <c r="O20" s="97"/>
      <c r="P20" s="97"/>
      <c r="Q20" s="20"/>
      <c r="R20" s="29"/>
      <c r="S20" s="29"/>
      <c r="T20" s="29"/>
      <c r="U20" s="29"/>
    </row>
    <row r="21" spans="2:21" ht="15" customHeight="1">
      <c r="B21" s="33"/>
      <c r="C21" s="29"/>
      <c r="D21" s="981"/>
      <c r="E21" s="982"/>
      <c r="F21" s="106"/>
      <c r="G21" s="217" t="s">
        <v>583</v>
      </c>
      <c r="H21" s="46" t="s">
        <v>191</v>
      </c>
      <c r="I21" s="97"/>
      <c r="J21" s="97"/>
      <c r="K21" s="97"/>
      <c r="L21" s="97"/>
      <c r="M21" s="97"/>
      <c r="N21" s="97"/>
      <c r="O21" s="97"/>
      <c r="P21" s="97"/>
      <c r="Q21" s="31"/>
      <c r="R21" s="29"/>
      <c r="S21" s="29"/>
      <c r="T21" s="29"/>
      <c r="U21" s="29"/>
    </row>
    <row r="22" spans="2:21" ht="15" customHeight="1">
      <c r="B22" s="33"/>
      <c r="C22" s="29"/>
      <c r="D22" s="981"/>
      <c r="E22" s="982"/>
      <c r="F22" s="106"/>
      <c r="G22" s="217" t="s">
        <v>585</v>
      </c>
      <c r="H22" s="9" t="s">
        <v>73</v>
      </c>
      <c r="I22" s="26"/>
      <c r="J22" s="97"/>
      <c r="K22" s="97"/>
      <c r="L22" s="97"/>
      <c r="M22" s="97"/>
      <c r="N22" s="97"/>
      <c r="O22" s="97"/>
      <c r="P22" s="97"/>
      <c r="Q22" s="31"/>
      <c r="R22" s="29"/>
      <c r="S22" s="29"/>
      <c r="T22" s="29"/>
      <c r="U22" s="29"/>
    </row>
    <row r="23" spans="2:21" ht="15" customHeight="1" thickBot="1">
      <c r="B23" s="33"/>
      <c r="C23" s="29"/>
      <c r="D23" s="983"/>
      <c r="E23" s="984"/>
      <c r="F23" s="106"/>
      <c r="G23" s="217" t="s">
        <v>586</v>
      </c>
      <c r="H23" s="9" t="s">
        <v>567</v>
      </c>
      <c r="I23" s="26"/>
      <c r="J23" s="26"/>
      <c r="K23" s="26"/>
      <c r="L23" s="26"/>
      <c r="M23" s="26"/>
      <c r="N23" s="26"/>
      <c r="O23" s="26"/>
      <c r="P23" s="26"/>
      <c r="Q23" s="31"/>
      <c r="R23" s="29"/>
      <c r="S23" s="29"/>
      <c r="T23" s="29"/>
      <c r="U23" s="29"/>
    </row>
    <row r="24" spans="2:21" ht="15" customHeight="1" thickBot="1">
      <c r="B24" s="33"/>
      <c r="C24" s="29"/>
      <c r="D24" s="106"/>
      <c r="E24" s="106"/>
      <c r="F24" s="106"/>
      <c r="G24" s="120"/>
      <c r="H24" s="9"/>
      <c r="I24" s="26"/>
      <c r="J24" s="26"/>
      <c r="K24" s="26"/>
      <c r="L24" s="26"/>
      <c r="M24" s="26"/>
      <c r="N24" s="26"/>
      <c r="O24" s="26"/>
      <c r="P24" s="26"/>
      <c r="Q24" s="31"/>
      <c r="R24" s="29"/>
      <c r="S24" s="29"/>
      <c r="T24" s="29"/>
      <c r="U24" s="29"/>
    </row>
    <row r="25" spans="2:21" ht="15" customHeight="1">
      <c r="B25" s="33"/>
      <c r="C25" s="29"/>
      <c r="D25" s="985" t="s">
        <v>185</v>
      </c>
      <c r="E25" s="986"/>
      <c r="F25" s="106"/>
      <c r="G25" s="217" t="s">
        <v>195</v>
      </c>
      <c r="H25" s="9" t="s">
        <v>84</v>
      </c>
      <c r="I25" s="26"/>
      <c r="J25" s="47"/>
      <c r="K25" s="26"/>
      <c r="L25" s="26"/>
      <c r="M25" s="26"/>
      <c r="N25" s="26"/>
      <c r="O25" s="26"/>
      <c r="P25" s="26"/>
      <c r="Q25" s="31"/>
      <c r="R25" s="29"/>
      <c r="S25" s="29"/>
      <c r="T25" s="29"/>
      <c r="U25" s="29"/>
    </row>
    <row r="26" spans="2:21" ht="15" customHeight="1">
      <c r="B26" s="34"/>
      <c r="C26" s="29"/>
      <c r="D26" s="987"/>
      <c r="E26" s="988"/>
      <c r="F26" s="106"/>
      <c r="G26" s="217" t="s">
        <v>189</v>
      </c>
      <c r="H26" s="48" t="s">
        <v>61</v>
      </c>
      <c r="I26" s="101"/>
      <c r="J26" s="47"/>
      <c r="K26" s="101"/>
      <c r="L26" s="101"/>
      <c r="M26" s="101"/>
      <c r="N26" s="101"/>
      <c r="O26" s="101"/>
      <c r="P26" s="101"/>
      <c r="Q26" s="36"/>
      <c r="R26" s="29"/>
      <c r="S26" s="29"/>
      <c r="T26" s="29"/>
      <c r="U26" s="29"/>
    </row>
    <row r="27" spans="2:21" ht="15" customHeight="1" thickBot="1">
      <c r="B27" s="30"/>
      <c r="C27" s="29"/>
      <c r="D27" s="989"/>
      <c r="E27" s="990"/>
      <c r="F27" s="106"/>
      <c r="G27" s="217" t="s">
        <v>190</v>
      </c>
      <c r="H27" s="48" t="s">
        <v>59</v>
      </c>
      <c r="I27" s="45"/>
      <c r="J27" s="47"/>
      <c r="K27" s="45"/>
      <c r="L27" s="45"/>
      <c r="M27" s="45"/>
      <c r="N27" s="45"/>
      <c r="O27" s="45"/>
      <c r="P27" s="45"/>
      <c r="Q27" s="36"/>
      <c r="R27" s="29"/>
      <c r="S27" s="29"/>
      <c r="T27" s="29"/>
      <c r="U27" s="29"/>
    </row>
    <row r="28" spans="2:21" ht="15" customHeight="1" thickBot="1">
      <c r="B28" s="33"/>
      <c r="C28" s="29"/>
      <c r="D28" s="106"/>
      <c r="E28" s="106"/>
      <c r="F28" s="106"/>
      <c r="G28" s="120"/>
      <c r="H28" s="9"/>
      <c r="I28" s="26"/>
      <c r="J28" s="26"/>
      <c r="K28" s="26"/>
      <c r="L28" s="26"/>
      <c r="M28" s="26"/>
      <c r="N28" s="26"/>
      <c r="O28" s="26"/>
      <c r="P28" s="26"/>
      <c r="Q28" s="31"/>
      <c r="R28" s="29"/>
      <c r="S28" s="29"/>
      <c r="T28" s="29"/>
      <c r="U28" s="29"/>
    </row>
    <row r="29" spans="2:21" ht="15" customHeight="1">
      <c r="B29" s="30"/>
      <c r="C29" s="29"/>
      <c r="D29" s="991" t="s">
        <v>34</v>
      </c>
      <c r="E29" s="992"/>
      <c r="F29" s="106"/>
      <c r="G29" s="217" t="s">
        <v>196</v>
      </c>
      <c r="H29" s="9" t="s">
        <v>84</v>
      </c>
      <c r="I29" s="45"/>
      <c r="J29" s="47"/>
      <c r="K29" s="45"/>
      <c r="L29" s="45"/>
      <c r="M29" s="45"/>
      <c r="N29" s="45"/>
      <c r="O29" s="45"/>
      <c r="P29" s="45"/>
      <c r="Q29" s="31"/>
      <c r="R29" s="29"/>
      <c r="S29" s="29"/>
      <c r="T29" s="29"/>
      <c r="U29" s="29"/>
    </row>
    <row r="30" spans="2:21" ht="15" customHeight="1">
      <c r="B30" s="30"/>
      <c r="C30" s="29"/>
      <c r="D30" s="993"/>
      <c r="E30" s="994"/>
      <c r="F30" s="106"/>
      <c r="G30" s="217" t="s">
        <v>51</v>
      </c>
      <c r="H30" s="48" t="s">
        <v>423</v>
      </c>
      <c r="I30" s="45"/>
      <c r="J30" s="47"/>
      <c r="K30" s="45"/>
      <c r="L30" s="45"/>
      <c r="M30" s="45"/>
      <c r="N30" s="45"/>
      <c r="O30" s="45"/>
      <c r="P30" s="45"/>
      <c r="Q30" s="31"/>
      <c r="R30" s="29"/>
      <c r="S30" s="29"/>
      <c r="T30" s="29"/>
      <c r="U30" s="29"/>
    </row>
    <row r="31" spans="2:21" ht="15" customHeight="1" thickBot="1">
      <c r="B31" s="30"/>
      <c r="C31" s="29"/>
      <c r="D31" s="995"/>
      <c r="E31" s="996"/>
      <c r="F31" s="106"/>
      <c r="G31" s="217" t="s">
        <v>52</v>
      </c>
      <c r="H31" s="48" t="s">
        <v>59</v>
      </c>
      <c r="I31" s="45"/>
      <c r="J31" s="47"/>
      <c r="K31" s="45"/>
      <c r="L31" s="45"/>
      <c r="M31" s="45"/>
      <c r="N31" s="45"/>
      <c r="O31" s="45"/>
      <c r="P31" s="45"/>
      <c r="Q31" s="31"/>
      <c r="R31" s="29"/>
      <c r="S31" s="29"/>
      <c r="T31" s="29"/>
      <c r="U31" s="29"/>
    </row>
    <row r="32" spans="2:21" ht="15" customHeight="1" thickBot="1">
      <c r="B32" s="33"/>
      <c r="C32" s="29"/>
      <c r="D32" s="106"/>
      <c r="E32" s="106"/>
      <c r="F32" s="106"/>
      <c r="G32" s="120"/>
      <c r="H32" s="9"/>
      <c r="I32" s="26"/>
      <c r="J32" s="26"/>
      <c r="K32" s="26"/>
      <c r="L32" s="26"/>
      <c r="M32" s="26"/>
      <c r="N32" s="26"/>
      <c r="O32" s="26"/>
      <c r="P32" s="26"/>
      <c r="Q32" s="31"/>
      <c r="R32" s="29"/>
      <c r="S32" s="29"/>
      <c r="T32" s="29"/>
      <c r="U32" s="29"/>
    </row>
    <row r="33" spans="2:21" ht="15" customHeight="1">
      <c r="B33" s="30"/>
      <c r="C33" s="29"/>
      <c r="D33" s="997" t="s">
        <v>41</v>
      </c>
      <c r="E33" s="998"/>
      <c r="F33" s="106"/>
      <c r="G33" s="217" t="s">
        <v>197</v>
      </c>
      <c r="H33" s="9" t="s">
        <v>83</v>
      </c>
      <c r="I33" s="45"/>
      <c r="J33" s="47"/>
      <c r="K33" s="45"/>
      <c r="L33" s="45"/>
      <c r="M33" s="45"/>
      <c r="N33" s="45"/>
      <c r="O33" s="45"/>
      <c r="P33" s="45"/>
      <c r="Q33" s="31"/>
      <c r="R33" s="29"/>
      <c r="S33" s="29"/>
      <c r="T33" s="29"/>
      <c r="U33" s="29"/>
    </row>
    <row r="34" spans="2:21" ht="15" customHeight="1">
      <c r="B34" s="30"/>
      <c r="C34" s="29"/>
      <c r="D34" s="999"/>
      <c r="E34" s="1000"/>
      <c r="F34" s="106"/>
      <c r="G34" s="217" t="s">
        <v>53</v>
      </c>
      <c r="H34" s="48" t="s">
        <v>62</v>
      </c>
      <c r="I34" s="45"/>
      <c r="J34" s="47"/>
      <c r="K34" s="45"/>
      <c r="L34" s="45"/>
      <c r="M34" s="45"/>
      <c r="N34" s="45"/>
      <c r="O34" s="45"/>
      <c r="P34" s="45"/>
      <c r="Q34" s="31"/>
      <c r="R34" s="29"/>
      <c r="S34" s="29"/>
      <c r="T34" s="29"/>
      <c r="U34" s="29"/>
    </row>
    <row r="35" spans="2:21" ht="15" customHeight="1" thickBot="1">
      <c r="B35" s="30"/>
      <c r="C35" s="29"/>
      <c r="D35" s="1001"/>
      <c r="E35" s="1002"/>
      <c r="F35" s="106"/>
      <c r="G35" s="217" t="s">
        <v>54</v>
      </c>
      <c r="H35" s="48" t="s">
        <v>59</v>
      </c>
      <c r="I35" s="45"/>
      <c r="J35" s="47"/>
      <c r="K35" s="45"/>
      <c r="L35" s="45"/>
      <c r="M35" s="45"/>
      <c r="N35" s="45"/>
      <c r="O35" s="45"/>
      <c r="P35" s="45"/>
      <c r="Q35" s="31"/>
      <c r="R35" s="29"/>
      <c r="S35" s="29"/>
      <c r="T35" s="29"/>
      <c r="U35" s="29"/>
    </row>
    <row r="36" spans="2:21" ht="15" customHeight="1">
      <c r="B36" s="30"/>
      <c r="C36" s="27"/>
      <c r="D36" s="27"/>
      <c r="E36" s="27"/>
      <c r="F36" s="27"/>
      <c r="G36" s="29"/>
      <c r="H36" s="27"/>
      <c r="I36" s="27"/>
      <c r="J36" s="27"/>
      <c r="K36" s="27"/>
      <c r="L36" s="27"/>
      <c r="M36" s="27"/>
      <c r="N36" s="27"/>
      <c r="O36" s="27"/>
      <c r="P36" s="27"/>
      <c r="Q36" s="31"/>
      <c r="R36" s="29"/>
      <c r="S36" s="29"/>
      <c r="T36" s="29"/>
      <c r="U36" s="29"/>
    </row>
    <row r="37" spans="2:21" ht="15" customHeight="1">
      <c r="B37" s="30"/>
      <c r="C37" s="41" t="s">
        <v>591</v>
      </c>
      <c r="D37" s="26"/>
      <c r="E37" s="26"/>
      <c r="F37" s="26"/>
      <c r="G37" s="26"/>
      <c r="H37" s="26"/>
      <c r="I37" s="26"/>
      <c r="J37" s="26"/>
      <c r="K37" s="26"/>
      <c r="L37" s="26"/>
      <c r="M37" s="26"/>
      <c r="N37" s="26"/>
      <c r="O37" s="26"/>
      <c r="P37" s="26"/>
      <c r="Q37" s="31"/>
      <c r="R37" s="29"/>
      <c r="S37" s="29"/>
      <c r="T37" s="29"/>
      <c r="U37" s="29"/>
    </row>
    <row r="38" spans="2:21" ht="9.9499999999999993" customHeight="1">
      <c r="B38" s="30"/>
      <c r="C38" s="27"/>
      <c r="D38" s="26"/>
      <c r="E38" s="26"/>
      <c r="F38" s="26"/>
      <c r="G38" s="26"/>
      <c r="H38" s="26"/>
      <c r="I38" s="26"/>
      <c r="J38" s="26"/>
      <c r="K38" s="26"/>
      <c r="L38" s="26"/>
      <c r="M38" s="26"/>
      <c r="N38" s="26"/>
      <c r="O38" s="26"/>
      <c r="P38" s="26"/>
      <c r="Q38" s="31"/>
      <c r="R38" s="29"/>
      <c r="S38" s="29"/>
      <c r="T38" s="29"/>
      <c r="U38" s="29"/>
    </row>
    <row r="39" spans="2:21" ht="15" customHeight="1">
      <c r="B39" s="30"/>
      <c r="C39" s="49" t="s">
        <v>71</v>
      </c>
      <c r="D39" s="26"/>
      <c r="E39" s="26"/>
      <c r="F39" s="26"/>
      <c r="G39" s="26"/>
      <c r="H39" s="26"/>
      <c r="I39" s="1"/>
      <c r="J39" s="1"/>
      <c r="K39" s="1"/>
      <c r="L39" s="1"/>
      <c r="M39" s="1"/>
      <c r="N39" s="1"/>
      <c r="O39" s="26"/>
      <c r="P39" s="26"/>
      <c r="Q39" s="31"/>
      <c r="R39" s="29"/>
      <c r="S39" s="29"/>
      <c r="T39" s="29"/>
      <c r="U39" s="29"/>
    </row>
    <row r="40" spans="2:21" ht="15" customHeight="1">
      <c r="B40" s="33"/>
      <c r="C40" s="111"/>
      <c r="D40" s="48" t="s">
        <v>588</v>
      </c>
      <c r="E40" s="29"/>
      <c r="F40" s="29"/>
      <c r="G40" s="29"/>
      <c r="H40" s="29"/>
      <c r="I40" s="1"/>
      <c r="J40" s="1"/>
      <c r="K40" s="1"/>
      <c r="L40" s="1"/>
      <c r="M40" s="1"/>
      <c r="N40" s="1"/>
      <c r="O40" s="29"/>
      <c r="P40" s="29"/>
      <c r="Q40" s="31"/>
    </row>
    <row r="41" spans="2:21" ht="15" customHeight="1">
      <c r="B41" s="33"/>
      <c r="C41" s="137"/>
      <c r="D41" s="48" t="s">
        <v>82</v>
      </c>
      <c r="E41" s="29"/>
      <c r="F41" s="29"/>
      <c r="G41" s="29"/>
      <c r="H41" s="29"/>
      <c r="I41" s="1"/>
      <c r="J41" s="1"/>
      <c r="K41" s="1"/>
      <c r="L41" s="1"/>
      <c r="M41" s="1"/>
      <c r="N41" s="1"/>
      <c r="O41" s="29"/>
      <c r="P41" s="29"/>
      <c r="Q41" s="31"/>
    </row>
    <row r="42" spans="2:21" ht="15" customHeight="1">
      <c r="B42" s="33"/>
      <c r="E42" s="29"/>
      <c r="F42" s="29"/>
      <c r="G42" s="29"/>
      <c r="H42" s="29"/>
      <c r="I42" s="1"/>
      <c r="J42" s="1"/>
      <c r="K42" s="1"/>
      <c r="L42" s="1"/>
      <c r="M42" s="1"/>
      <c r="N42" s="1"/>
      <c r="O42" s="29"/>
      <c r="P42" s="29"/>
      <c r="Q42" s="31"/>
    </row>
    <row r="43" spans="2:21" ht="15" customHeight="1">
      <c r="B43" s="33"/>
      <c r="C43" s="49" t="s">
        <v>75</v>
      </c>
      <c r="D43" s="48"/>
      <c r="E43" s="29"/>
      <c r="F43" s="29"/>
      <c r="G43" s="29"/>
      <c r="H43" s="29"/>
      <c r="I43" s="29"/>
      <c r="J43" s="29"/>
      <c r="K43" s="29"/>
      <c r="L43" s="29"/>
      <c r="M43" s="29"/>
      <c r="N43" s="29"/>
      <c r="O43" s="29"/>
      <c r="P43" s="29"/>
      <c r="Q43" s="31"/>
    </row>
    <row r="44" spans="2:21" ht="15" customHeight="1">
      <c r="B44" s="33"/>
      <c r="C44" s="63" t="s">
        <v>68</v>
      </c>
      <c r="D44" s="29"/>
      <c r="E44" s="240" t="s">
        <v>587</v>
      </c>
      <c r="F44" s="104"/>
      <c r="G44" s="29"/>
      <c r="H44" s="29"/>
      <c r="I44" s="29"/>
      <c r="J44" s="29"/>
      <c r="K44" s="29"/>
      <c r="L44" s="29"/>
      <c r="M44" s="29"/>
      <c r="N44" s="29"/>
      <c r="O44" s="29"/>
      <c r="P44" s="29"/>
      <c r="Q44" s="31"/>
    </row>
    <row r="45" spans="2:21" ht="15" customHeight="1">
      <c r="B45" s="33"/>
      <c r="C45" s="733" t="s">
        <v>568</v>
      </c>
      <c r="D45" s="29"/>
      <c r="E45" s="732" t="s">
        <v>319</v>
      </c>
      <c r="F45" s="104"/>
      <c r="G45" s="29"/>
      <c r="H45" s="29"/>
      <c r="I45" s="29"/>
      <c r="J45" s="29"/>
      <c r="K45" s="29"/>
      <c r="L45" s="29"/>
      <c r="M45" s="29"/>
      <c r="N45" s="29"/>
      <c r="O45" s="29"/>
      <c r="P45" s="29"/>
      <c r="Q45" s="31"/>
    </row>
    <row r="46" spans="2:21" ht="15" customHeight="1">
      <c r="B46" s="33"/>
      <c r="C46" s="146" t="s">
        <v>67</v>
      </c>
      <c r="D46" s="29"/>
      <c r="E46" s="126" t="s">
        <v>592</v>
      </c>
      <c r="F46" s="104"/>
      <c r="G46" s="29"/>
      <c r="H46" s="29"/>
      <c r="I46" s="29"/>
      <c r="J46" s="29"/>
      <c r="K46" s="29"/>
      <c r="L46" s="29"/>
      <c r="M46" s="29"/>
      <c r="N46" s="29"/>
      <c r="O46" s="29"/>
      <c r="P46" s="29"/>
      <c r="Q46" s="31"/>
    </row>
    <row r="47" spans="2:21" ht="15" customHeight="1">
      <c r="B47" s="33"/>
      <c r="C47" s="147" t="s">
        <v>66</v>
      </c>
      <c r="D47" s="29"/>
      <c r="E47" s="127" t="s">
        <v>609</v>
      </c>
      <c r="F47" s="104"/>
      <c r="G47" s="29"/>
      <c r="H47" s="29"/>
      <c r="I47" s="29"/>
      <c r="J47" s="29"/>
      <c r="K47" s="29"/>
      <c r="L47" s="29"/>
      <c r="M47" s="29"/>
      <c r="N47" s="29"/>
      <c r="O47" s="29"/>
      <c r="P47" s="29"/>
      <c r="Q47" s="31"/>
    </row>
    <row r="48" spans="2:21" ht="15" customHeight="1" thickBot="1">
      <c r="B48" s="37"/>
      <c r="C48" s="38"/>
      <c r="D48" s="38"/>
      <c r="E48" s="38"/>
      <c r="F48" s="38"/>
      <c r="G48" s="38"/>
      <c r="H48" s="38"/>
      <c r="I48" s="38"/>
      <c r="J48" s="38"/>
      <c r="K48" s="38"/>
      <c r="L48" s="38"/>
      <c r="M48" s="38"/>
      <c r="N48" s="38"/>
      <c r="O48" s="38"/>
      <c r="P48" s="38"/>
      <c r="Q48" s="39"/>
    </row>
    <row r="49" ht="15" customHeight="1"/>
    <row r="50" ht="15" hidden="1" customHeight="1"/>
    <row r="51" ht="15" customHeight="1"/>
    <row r="52" ht="0" hidden="1" customHeight="1"/>
    <row r="53" ht="0" hidden="1" customHeight="1"/>
    <row r="54" ht="0" hidden="1" customHeight="1"/>
    <row r="55" ht="0" hidden="1" customHeight="1"/>
    <row r="56" ht="0" hidden="1" customHeight="1"/>
  </sheetData>
  <mergeCells count="10">
    <mergeCell ref="B2:Q2"/>
    <mergeCell ref="D20:E23"/>
    <mergeCell ref="D25:E27"/>
    <mergeCell ref="D29:E31"/>
    <mergeCell ref="D33:E35"/>
    <mergeCell ref="D18:E18"/>
    <mergeCell ref="D6:P9"/>
    <mergeCell ref="D10:P10"/>
    <mergeCell ref="D11:P11"/>
    <mergeCell ref="D12:P12"/>
  </mergeCells>
  <hyperlinks>
    <hyperlink ref="G20" location="'I1'!B2" display="I1"/>
    <hyperlink ref="G21" location="'I2'!B2" display="I2"/>
    <hyperlink ref="G22" location="'I3'!B2" display="I3"/>
    <hyperlink ref="G23" location="'I4'!B2" display="I4"/>
    <hyperlink ref="G25" location="PTA!B2" display="PTA"/>
    <hyperlink ref="G26" location="PTAin!B2" display="PTAin"/>
    <hyperlink ref="G27" location="PTAout!B2" display="PTAout"/>
    <hyperlink ref="G29" location="CBA!B2" display="CBA"/>
    <hyperlink ref="G30" location="CBAin!B2" display="CBAin"/>
    <hyperlink ref="G31" location="CBAout!B2" display="CBAout"/>
    <hyperlink ref="G33" location="MCA!B2" display="MCA"/>
    <hyperlink ref="G34" location="MCAin!B2" display="MCAin"/>
    <hyperlink ref="G35" location="MCAout!B2" display="MCAout"/>
    <hyperlink ref="D20:E23" location="'I1'!B2" display="GENERAL INPUTS"/>
    <hyperlink ref="D25:E27" location="PTA!B2" display="POLITICAL/ TECHNICAL ASSESSMENT"/>
    <hyperlink ref="D29:E31" location="CBA!B2" display="COST-BENEFIT ANALYSIS"/>
    <hyperlink ref="D33:E35" location="MCA!B2" display="MULTI-CRITERIA ANALYSI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FFFF00"/>
  </sheetPr>
  <dimension ref="A1:AB100"/>
  <sheetViews>
    <sheetView zoomScale="70" zoomScaleNormal="70" workbookViewId="0">
      <selection activeCell="B2" sqref="B2:Q2"/>
    </sheetView>
  </sheetViews>
  <sheetFormatPr defaultColWidth="0" defaultRowHeight="0" customHeight="1" zeroHeight="1"/>
  <cols>
    <col min="1" max="1" width="3.85546875" style="28" customWidth="1"/>
    <col min="2" max="2" width="2.42578125" style="28" customWidth="1"/>
    <col min="3" max="3" width="3.28515625" style="28" customWidth="1"/>
    <col min="4" max="4" width="69.28515625" style="28" customWidth="1"/>
    <col min="5" max="5" width="4.7109375" style="28" customWidth="1"/>
    <col min="6" max="6" width="25.5703125" style="28" customWidth="1"/>
    <col min="7" max="7" width="1.5703125" style="28" customWidth="1"/>
    <col min="8" max="8" width="25.5703125" style="28" customWidth="1"/>
    <col min="9" max="9" width="1.5703125" style="28" customWidth="1"/>
    <col min="10" max="10" width="25.5703125" style="28" customWidth="1"/>
    <col min="11" max="11" width="1.5703125" style="28" customWidth="1"/>
    <col min="12" max="12" width="25.5703125" style="28" customWidth="1"/>
    <col min="13" max="13" width="1.5703125" style="28" customWidth="1"/>
    <col min="14" max="14" width="25.5703125" style="28" customWidth="1"/>
    <col min="15" max="15" width="1.5703125" style="28" customWidth="1"/>
    <col min="16" max="16" width="25.5703125" style="28" customWidth="1"/>
    <col min="17" max="17" width="2.5703125" style="28" customWidth="1"/>
    <col min="18" max="18" width="3.7109375" style="28" customWidth="1"/>
    <col min="19" max="28" width="0" style="28" hidden="1" customWidth="1"/>
    <col min="29" max="16384" width="8.85546875" style="28" hidden="1"/>
  </cols>
  <sheetData>
    <row r="1" spans="1:21" ht="15" customHeight="1" thickBot="1">
      <c r="R1" s="29"/>
      <c r="S1" s="29"/>
      <c r="T1" s="29"/>
      <c r="U1" s="29"/>
    </row>
    <row r="2" spans="1:21" ht="20.100000000000001" customHeight="1" thickBot="1">
      <c r="A2" s="29"/>
      <c r="B2" s="1006" t="s">
        <v>47</v>
      </c>
      <c r="C2" s="1007"/>
      <c r="D2" s="1007"/>
      <c r="E2" s="1007"/>
      <c r="F2" s="1007"/>
      <c r="G2" s="1007"/>
      <c r="H2" s="1007"/>
      <c r="I2" s="1007"/>
      <c r="J2" s="1007"/>
      <c r="K2" s="1007"/>
      <c r="L2" s="1007"/>
      <c r="M2" s="1007"/>
      <c r="N2" s="1007"/>
      <c r="O2" s="1007"/>
      <c r="P2" s="1007"/>
      <c r="Q2" s="1008"/>
      <c r="R2" s="29"/>
      <c r="S2" s="29"/>
      <c r="T2" s="29"/>
      <c r="U2" s="29"/>
    </row>
    <row r="3" spans="1:21" ht="9.9499999999999993" customHeight="1">
      <c r="A3" s="29"/>
      <c r="B3" s="42"/>
      <c r="C3" s="43"/>
      <c r="D3" s="43"/>
      <c r="E3" s="43"/>
      <c r="F3" s="43"/>
      <c r="G3" s="43"/>
      <c r="H3" s="43"/>
      <c r="I3" s="43"/>
      <c r="J3" s="43"/>
      <c r="K3" s="43"/>
      <c r="L3" s="43"/>
      <c r="M3" s="43"/>
      <c r="N3" s="43"/>
      <c r="O3" s="43"/>
      <c r="P3" s="43"/>
      <c r="Q3" s="44"/>
      <c r="R3" s="29"/>
      <c r="S3" s="29"/>
      <c r="T3" s="29"/>
      <c r="U3" s="29"/>
    </row>
    <row r="4" spans="1:21" ht="15" customHeight="1">
      <c r="A4" s="29"/>
      <c r="B4" s="42"/>
      <c r="C4" s="98" t="s">
        <v>4</v>
      </c>
      <c r="D4" s="99"/>
      <c r="E4" s="99"/>
      <c r="F4" s="99"/>
      <c r="G4" s="99"/>
      <c r="H4" s="99"/>
      <c r="I4" s="99"/>
      <c r="J4" s="99"/>
      <c r="K4" s="99"/>
      <c r="L4" s="99"/>
      <c r="M4" s="99"/>
      <c r="N4" s="99"/>
      <c r="O4" s="99"/>
      <c r="P4" s="100"/>
      <c r="Q4" s="44"/>
      <c r="R4" s="29"/>
      <c r="S4" s="29"/>
      <c r="T4" s="29"/>
      <c r="U4" s="29"/>
    </row>
    <row r="5" spans="1:21" ht="15" customHeight="1">
      <c r="B5" s="30"/>
      <c r="C5" s="142" t="s">
        <v>79</v>
      </c>
      <c r="D5" s="1012" t="s">
        <v>618</v>
      </c>
      <c r="E5" s="1012"/>
      <c r="F5" s="1012"/>
      <c r="G5" s="1012"/>
      <c r="H5" s="1012"/>
      <c r="I5" s="1012"/>
      <c r="J5" s="1012"/>
      <c r="K5" s="1012"/>
      <c r="L5" s="1012"/>
      <c r="M5" s="1012"/>
      <c r="N5" s="1012"/>
      <c r="O5" s="1012"/>
      <c r="P5" s="1013"/>
      <c r="Q5" s="31"/>
      <c r="R5" s="29"/>
      <c r="S5" s="29"/>
      <c r="T5" s="29"/>
      <c r="U5" s="29"/>
    </row>
    <row r="6" spans="1:21" ht="15" customHeight="1">
      <c r="B6" s="30"/>
      <c r="C6" s="142" t="s">
        <v>79</v>
      </c>
      <c r="D6" s="1014" t="s">
        <v>606</v>
      </c>
      <c r="E6" s="1014"/>
      <c r="F6" s="1014"/>
      <c r="G6" s="1014"/>
      <c r="H6" s="1014"/>
      <c r="I6" s="1014"/>
      <c r="J6" s="1014"/>
      <c r="K6" s="1014"/>
      <c r="L6" s="1014"/>
      <c r="M6" s="1014"/>
      <c r="N6" s="1014"/>
      <c r="O6" s="1014"/>
      <c r="P6" s="1015"/>
      <c r="Q6" s="31"/>
      <c r="R6" s="29"/>
      <c r="S6" s="29"/>
      <c r="T6" s="29"/>
      <c r="U6" s="29"/>
    </row>
    <row r="7" spans="1:21" ht="15" customHeight="1">
      <c r="B7" s="30"/>
      <c r="C7" s="141"/>
      <c r="D7" s="1014"/>
      <c r="E7" s="1014"/>
      <c r="F7" s="1014"/>
      <c r="G7" s="1014"/>
      <c r="H7" s="1014"/>
      <c r="I7" s="1014"/>
      <c r="J7" s="1014"/>
      <c r="K7" s="1014"/>
      <c r="L7" s="1014"/>
      <c r="M7" s="1014"/>
      <c r="N7" s="1014"/>
      <c r="O7" s="1014"/>
      <c r="P7" s="1015"/>
      <c r="Q7" s="31"/>
      <c r="R7" s="29"/>
      <c r="S7" s="29"/>
      <c r="T7" s="29"/>
      <c r="U7" s="29"/>
    </row>
    <row r="8" spans="1:21" ht="30" customHeight="1">
      <c r="B8" s="30"/>
      <c r="C8" s="142" t="s">
        <v>79</v>
      </c>
      <c r="D8" s="1014" t="s">
        <v>617</v>
      </c>
      <c r="E8" s="1014"/>
      <c r="F8" s="1014"/>
      <c r="G8" s="1014"/>
      <c r="H8" s="1014"/>
      <c r="I8" s="1014"/>
      <c r="J8" s="1014"/>
      <c r="K8" s="1014"/>
      <c r="L8" s="1014"/>
      <c r="M8" s="1014"/>
      <c r="N8" s="1014"/>
      <c r="O8" s="1014"/>
      <c r="P8" s="1015"/>
      <c r="Q8" s="31"/>
      <c r="R8" s="29"/>
      <c r="S8" s="29"/>
      <c r="T8" s="29"/>
      <c r="U8" s="29"/>
    </row>
    <row r="9" spans="1:21" ht="15" customHeight="1">
      <c r="B9" s="30"/>
      <c r="C9" s="142" t="s">
        <v>79</v>
      </c>
      <c r="D9" s="1014" t="s">
        <v>607</v>
      </c>
      <c r="E9" s="1014"/>
      <c r="F9" s="1014"/>
      <c r="G9" s="1014"/>
      <c r="H9" s="1014"/>
      <c r="I9" s="1014"/>
      <c r="J9" s="1014"/>
      <c r="K9" s="1014"/>
      <c r="L9" s="1014"/>
      <c r="M9" s="1014"/>
      <c r="N9" s="1014"/>
      <c r="O9" s="1014"/>
      <c r="P9" s="1015"/>
      <c r="Q9" s="31"/>
      <c r="R9" s="29"/>
      <c r="S9" s="29"/>
      <c r="T9" s="29"/>
      <c r="U9" s="29"/>
    </row>
    <row r="10" spans="1:21" ht="15" customHeight="1">
      <c r="B10" s="32"/>
      <c r="C10" s="142" t="s">
        <v>79</v>
      </c>
      <c r="D10" s="63" t="s">
        <v>533</v>
      </c>
      <c r="E10" s="27"/>
      <c r="F10" s="27"/>
      <c r="G10" s="27"/>
      <c r="H10" s="27"/>
      <c r="I10" s="27"/>
      <c r="J10" s="27"/>
      <c r="K10" s="27"/>
      <c r="L10" s="27"/>
      <c r="M10" s="27"/>
      <c r="N10" s="27"/>
      <c r="O10" s="27"/>
      <c r="P10" s="57"/>
      <c r="Q10" s="31"/>
      <c r="R10" s="29"/>
      <c r="S10" s="29"/>
      <c r="T10" s="29"/>
      <c r="U10" s="29"/>
    </row>
    <row r="11" spans="1:21" ht="15" customHeight="1" thickBot="1">
      <c r="B11" s="32"/>
      <c r="C11" s="142"/>
      <c r="D11" s="63"/>
      <c r="E11" s="27"/>
      <c r="F11" s="27"/>
      <c r="G11" s="27"/>
      <c r="H11" s="27"/>
      <c r="I11" s="27"/>
      <c r="J11" s="27"/>
      <c r="K11" s="27"/>
      <c r="L11" s="27"/>
      <c r="M11" s="27"/>
      <c r="N11" s="27"/>
      <c r="O11" s="27"/>
      <c r="P11" s="57"/>
      <c r="Q11" s="31"/>
      <c r="R11" s="29"/>
      <c r="S11" s="29"/>
      <c r="T11" s="29"/>
      <c r="U11" s="29"/>
    </row>
    <row r="12" spans="1:21" ht="60" customHeight="1" thickBot="1">
      <c r="B12" s="30"/>
      <c r="C12" s="142"/>
      <c r="D12" s="778"/>
      <c r="E12" s="1016" t="s">
        <v>608</v>
      </c>
      <c r="F12" s="1017"/>
      <c r="G12" s="1017"/>
      <c r="H12" s="1017"/>
      <c r="I12" s="1017"/>
      <c r="J12" s="1017"/>
      <c r="K12" s="1017"/>
      <c r="L12" s="1017"/>
      <c r="M12" s="1018"/>
      <c r="N12" s="29"/>
      <c r="O12" s="778"/>
      <c r="P12" s="779"/>
      <c r="Q12" s="31"/>
      <c r="R12" s="29"/>
      <c r="S12" s="29"/>
      <c r="T12" s="29"/>
      <c r="U12" s="29"/>
    </row>
    <row r="13" spans="1:21" ht="8.25" customHeight="1">
      <c r="B13" s="32"/>
      <c r="C13" s="56"/>
      <c r="D13" s="27"/>
      <c r="E13" s="27"/>
      <c r="F13" s="27"/>
      <c r="G13" s="27"/>
      <c r="H13" s="27"/>
      <c r="I13" s="27"/>
      <c r="J13" s="27"/>
      <c r="K13" s="27"/>
      <c r="L13" s="27"/>
      <c r="M13" s="27"/>
      <c r="N13" s="27"/>
      <c r="O13" s="27"/>
      <c r="P13" s="57"/>
      <c r="Q13" s="31"/>
      <c r="R13" s="29"/>
      <c r="S13" s="29"/>
      <c r="T13" s="29"/>
      <c r="U13" s="29"/>
    </row>
    <row r="14" spans="1:21" ht="15" customHeight="1">
      <c r="B14" s="32"/>
      <c r="C14" s="58" t="s">
        <v>11</v>
      </c>
      <c r="D14" s="29"/>
      <c r="E14" s="26"/>
      <c r="F14" s="27"/>
      <c r="G14" s="27"/>
      <c r="H14" s="27"/>
      <c r="I14" s="27"/>
      <c r="J14" s="27"/>
      <c r="K14" s="27"/>
      <c r="L14" s="27"/>
      <c r="M14" s="27"/>
      <c r="N14" s="27"/>
      <c r="O14" s="27"/>
      <c r="P14" s="57"/>
      <c r="Q14" s="31"/>
      <c r="R14" s="29"/>
      <c r="S14" s="29"/>
      <c r="T14" s="29"/>
      <c r="U14" s="29"/>
    </row>
    <row r="15" spans="1:21" ht="15" customHeight="1">
      <c r="B15" s="32"/>
      <c r="C15" s="152"/>
      <c r="D15" s="63" t="s">
        <v>588</v>
      </c>
      <c r="E15" s="29"/>
      <c r="F15" s="27"/>
      <c r="G15" s="27"/>
      <c r="H15" s="27"/>
      <c r="I15" s="27"/>
      <c r="J15" s="27"/>
      <c r="K15" s="27"/>
      <c r="L15" s="27"/>
      <c r="M15" s="27"/>
      <c r="N15" s="27"/>
      <c r="O15" s="27"/>
      <c r="P15" s="57"/>
      <c r="Q15" s="31"/>
      <c r="R15" s="29"/>
      <c r="S15" s="29"/>
      <c r="T15" s="29"/>
      <c r="U15" s="29"/>
    </row>
    <row r="16" spans="1:21" ht="15" customHeight="1">
      <c r="B16" s="32"/>
      <c r="C16" s="166"/>
      <c r="D16" s="63" t="s">
        <v>82</v>
      </c>
      <c r="E16" s="29"/>
      <c r="F16" s="27"/>
      <c r="G16" s="27"/>
      <c r="H16" s="27"/>
      <c r="I16" s="27"/>
      <c r="J16" s="27"/>
      <c r="K16" s="27"/>
      <c r="L16" s="27"/>
      <c r="M16" s="27"/>
      <c r="N16" s="27"/>
      <c r="O16" s="27"/>
      <c r="P16" s="57"/>
      <c r="Q16" s="31"/>
      <c r="R16" s="29"/>
      <c r="S16" s="29"/>
      <c r="T16" s="29"/>
      <c r="U16" s="29"/>
    </row>
    <row r="17" spans="2:21" ht="15" customHeight="1">
      <c r="B17" s="32"/>
      <c r="C17" s="780" t="s">
        <v>65</v>
      </c>
      <c r="D17" s="127" t="s">
        <v>609</v>
      </c>
      <c r="E17" s="29"/>
      <c r="F17" s="27"/>
      <c r="G17" s="27"/>
      <c r="H17" s="27"/>
      <c r="I17" s="27"/>
      <c r="J17" s="27"/>
      <c r="K17" s="27"/>
      <c r="L17" s="27"/>
      <c r="M17" s="27"/>
      <c r="N17" s="27"/>
      <c r="O17" s="27"/>
      <c r="P17" s="57"/>
      <c r="Q17" s="31"/>
      <c r="R17" s="29"/>
      <c r="S17" s="29"/>
      <c r="T17" s="29"/>
      <c r="U17" s="29"/>
    </row>
    <row r="18" spans="2:21" ht="15" customHeight="1">
      <c r="B18" s="32"/>
      <c r="C18" s="594" t="s">
        <v>65</v>
      </c>
      <c r="D18" s="768" t="s">
        <v>319</v>
      </c>
      <c r="E18" s="59"/>
      <c r="F18" s="60"/>
      <c r="G18" s="60"/>
      <c r="H18" s="60"/>
      <c r="I18" s="60"/>
      <c r="J18" s="60"/>
      <c r="K18" s="60"/>
      <c r="L18" s="60"/>
      <c r="M18" s="60"/>
      <c r="N18" s="60"/>
      <c r="O18" s="60"/>
      <c r="P18" s="61"/>
      <c r="Q18" s="31"/>
      <c r="R18" s="29"/>
      <c r="S18" s="29"/>
      <c r="T18" s="29"/>
      <c r="U18" s="29"/>
    </row>
    <row r="19" spans="2:21" ht="15" customHeight="1">
      <c r="B19" s="24"/>
      <c r="C19" s="29"/>
      <c r="D19" s="29"/>
      <c r="E19" s="97"/>
      <c r="F19" s="97"/>
      <c r="G19" s="97"/>
      <c r="H19" s="97"/>
      <c r="I19" s="97"/>
      <c r="J19" s="97"/>
      <c r="K19" s="97"/>
      <c r="L19" s="97"/>
      <c r="M19" s="97"/>
      <c r="N19" s="97"/>
      <c r="O19" s="97"/>
      <c r="P19" s="97"/>
      <c r="Q19" s="20"/>
      <c r="R19" s="29"/>
      <c r="S19" s="29"/>
      <c r="T19" s="29"/>
      <c r="U19" s="29"/>
    </row>
    <row r="20" spans="2:21" ht="15" customHeight="1">
      <c r="B20" s="24"/>
      <c r="C20" s="29"/>
      <c r="D20" s="29"/>
      <c r="E20" s="97"/>
      <c r="F20" s="97"/>
      <c r="G20" s="97"/>
      <c r="H20" s="97"/>
      <c r="I20" s="97"/>
      <c r="J20" s="97"/>
      <c r="K20" s="97"/>
      <c r="L20" s="97"/>
      <c r="M20" s="97"/>
      <c r="N20" s="97"/>
      <c r="O20" s="97"/>
      <c r="P20" s="97"/>
      <c r="Q20" s="20"/>
      <c r="R20" s="29"/>
      <c r="S20" s="29"/>
      <c r="T20" s="29"/>
      <c r="U20" s="29"/>
    </row>
    <row r="21" spans="2:21" ht="20.100000000000001" customHeight="1">
      <c r="B21" s="24"/>
      <c r="C21" s="252" t="s">
        <v>597</v>
      </c>
      <c r="D21" s="29"/>
      <c r="E21" s="97"/>
      <c r="F21" s="47" t="s">
        <v>588</v>
      </c>
      <c r="G21" s="97"/>
      <c r="H21" s="47" t="s">
        <v>699</v>
      </c>
      <c r="I21" s="97"/>
      <c r="J21" s="97"/>
      <c r="K21" s="97"/>
      <c r="L21" s="97"/>
      <c r="M21" s="97"/>
      <c r="N21" s="97"/>
      <c r="O21" s="97"/>
      <c r="P21" s="97"/>
      <c r="Q21" s="20"/>
      <c r="R21" s="29"/>
      <c r="S21" s="29"/>
      <c r="T21" s="29"/>
      <c r="U21" s="29"/>
    </row>
    <row r="22" spans="2:21" ht="18" customHeight="1">
      <c r="B22" s="24"/>
      <c r="C22" s="49" t="s">
        <v>598</v>
      </c>
      <c r="D22" s="50"/>
      <c r="E22" s="97"/>
      <c r="F22" s="133"/>
      <c r="G22" s="97"/>
      <c r="H22" s="97"/>
      <c r="I22" s="97"/>
      <c r="J22" s="97"/>
      <c r="K22" s="97"/>
      <c r="L22" s="97"/>
      <c r="M22" s="97"/>
      <c r="N22" s="97"/>
      <c r="O22" s="97"/>
      <c r="P22" s="97"/>
      <c r="Q22" s="20"/>
      <c r="R22" s="29"/>
      <c r="S22" s="29"/>
      <c r="T22" s="29"/>
      <c r="U22" s="29"/>
    </row>
    <row r="23" spans="2:21" ht="17.25" customHeight="1">
      <c r="B23" s="33"/>
      <c r="C23" s="65" t="s">
        <v>409</v>
      </c>
      <c r="D23" s="47"/>
      <c r="E23" s="97"/>
      <c r="F23" s="595"/>
      <c r="G23" s="97"/>
      <c r="H23" s="770" t="str">
        <f>IF(F23="","! If no information is inputted, the CBA analysis will not consider some economic and environmental impacts","")</f>
        <v>! If no information is inputted, the CBA analysis will not consider some economic and environmental impacts</v>
      </c>
      <c r="I23" s="97"/>
      <c r="J23" s="97"/>
      <c r="K23" s="97"/>
      <c r="L23" s="97"/>
      <c r="M23" s="97"/>
      <c r="N23" s="47"/>
      <c r="O23" s="97"/>
      <c r="P23" s="46"/>
      <c r="Q23" s="31"/>
      <c r="R23" s="29"/>
      <c r="S23" s="29"/>
      <c r="T23" s="29"/>
      <c r="U23" s="29"/>
    </row>
    <row r="24" spans="2:21" ht="18" customHeight="1">
      <c r="B24" s="24"/>
      <c r="C24" s="49" t="s">
        <v>87</v>
      </c>
      <c r="D24" s="50"/>
      <c r="E24" s="51"/>
      <c r="F24" s="592"/>
      <c r="G24" s="97"/>
      <c r="H24" s="97"/>
      <c r="I24" s="97"/>
      <c r="J24" s="97"/>
      <c r="K24" s="97"/>
      <c r="L24" s="97"/>
      <c r="M24" s="97"/>
      <c r="N24" s="97"/>
      <c r="O24" s="97"/>
      <c r="P24" s="97"/>
      <c r="Q24" s="20"/>
      <c r="R24" s="29"/>
      <c r="S24" s="29"/>
      <c r="T24" s="29"/>
      <c r="U24" s="29"/>
    </row>
    <row r="25" spans="2:21" ht="18" customHeight="1">
      <c r="B25" s="24"/>
      <c r="C25" s="49" t="s">
        <v>120</v>
      </c>
      <c r="D25" s="50"/>
      <c r="E25" s="97"/>
      <c r="F25" s="46" t="str">
        <f>IF(city="","",VLOOKUP(city,cities_data,2,0))</f>
        <v/>
      </c>
      <c r="G25" s="97"/>
      <c r="H25" s="97"/>
      <c r="I25" s="97"/>
      <c r="J25" s="97"/>
      <c r="K25" s="97"/>
      <c r="L25" s="97"/>
      <c r="M25" s="97"/>
      <c r="N25" s="97"/>
      <c r="O25" s="97"/>
      <c r="P25" s="97"/>
      <c r="Q25" s="20"/>
      <c r="R25" s="29"/>
      <c r="S25" s="29"/>
      <c r="T25" s="29"/>
      <c r="U25" s="29"/>
    </row>
    <row r="26" spans="2:21" ht="18" customHeight="1">
      <c r="B26" s="24"/>
      <c r="C26" s="49" t="s">
        <v>350</v>
      </c>
      <c r="D26" s="50"/>
      <c r="E26" s="97"/>
      <c r="F26" s="46" t="str">
        <f>IF(city="","",VLOOKUP(city,cities_data,3,0))</f>
        <v/>
      </c>
      <c r="G26" s="97"/>
      <c r="H26" s="97"/>
      <c r="I26" s="97"/>
      <c r="J26" s="97"/>
      <c r="K26" s="97"/>
      <c r="L26" s="97"/>
      <c r="M26" s="97"/>
      <c r="N26" s="97"/>
      <c r="O26" s="97"/>
      <c r="P26" s="97"/>
      <c r="Q26" s="20"/>
      <c r="R26" s="29"/>
      <c r="S26" s="29"/>
      <c r="T26" s="29"/>
      <c r="U26" s="29"/>
    </row>
    <row r="27" spans="2:21" ht="18" customHeight="1">
      <c r="B27" s="24"/>
      <c r="C27" s="49" t="s">
        <v>155</v>
      </c>
      <c r="D27" s="50"/>
      <c r="E27" s="97"/>
      <c r="F27" s="133"/>
      <c r="G27" s="97"/>
      <c r="H27" s="770" t="str">
        <f>IF(F27="","!If no information is inputted, the CBA analysis will not consider any environmental impact","")</f>
        <v>!If no information is inputted, the CBA analysis will not consider any environmental impact</v>
      </c>
      <c r="I27" s="97"/>
      <c r="J27" s="97"/>
      <c r="K27" s="97"/>
      <c r="L27" s="97"/>
      <c r="M27" s="97"/>
      <c r="N27" s="97"/>
      <c r="O27" s="97"/>
      <c r="P27" s="97"/>
      <c r="Q27" s="20"/>
      <c r="R27" s="29"/>
      <c r="S27" s="29"/>
      <c r="T27" s="29"/>
      <c r="U27" s="29"/>
    </row>
    <row r="28" spans="2:21" ht="18" customHeight="1">
      <c r="B28" s="24"/>
      <c r="C28" s="49" t="s">
        <v>156</v>
      </c>
      <c r="D28" s="50"/>
      <c r="E28" s="97"/>
      <c r="F28" s="133"/>
      <c r="G28" s="97"/>
      <c r="H28" s="770" t="str">
        <f>IF(F28="","! If no information is inputted, the CBA analysis will not consider some economic impacts","")</f>
        <v>! If no information is inputted, the CBA analysis will not consider some economic impacts</v>
      </c>
      <c r="I28" s="97"/>
      <c r="J28" s="97"/>
      <c r="K28" s="97"/>
      <c r="L28" s="97"/>
      <c r="M28" s="97"/>
      <c r="N28" s="97"/>
      <c r="O28" s="97"/>
      <c r="P28" s="97"/>
      <c r="Q28" s="20"/>
      <c r="R28" s="29"/>
      <c r="S28" s="29"/>
      <c r="T28" s="29"/>
      <c r="U28" s="29"/>
    </row>
    <row r="29" spans="2:21" ht="18" customHeight="1">
      <c r="B29" s="24"/>
      <c r="C29" s="49" t="s">
        <v>768</v>
      </c>
      <c r="D29" s="50"/>
      <c r="E29" s="97"/>
      <c r="F29" s="133"/>
      <c r="G29" s="97"/>
      <c r="H29" s="770"/>
      <c r="I29" s="97"/>
      <c r="J29" s="97"/>
      <c r="K29" s="97"/>
      <c r="L29" s="97"/>
      <c r="M29" s="97"/>
      <c r="N29" s="97"/>
      <c r="O29" s="97"/>
      <c r="P29" s="97"/>
      <c r="Q29" s="20"/>
      <c r="R29" s="29"/>
      <c r="S29" s="29"/>
      <c r="T29" s="29"/>
      <c r="U29" s="29"/>
    </row>
    <row r="30" spans="2:21" ht="18" customHeight="1">
      <c r="B30" s="24"/>
      <c r="C30" s="49"/>
      <c r="D30" s="50"/>
      <c r="E30" s="97"/>
      <c r="F30" s="46"/>
      <c r="G30" s="97"/>
      <c r="H30" s="97"/>
      <c r="I30" s="97"/>
      <c r="J30" s="97"/>
      <c r="K30" s="97"/>
      <c r="L30" s="97"/>
      <c r="M30" s="97"/>
      <c r="N30" s="97"/>
      <c r="O30" s="97"/>
      <c r="P30" s="97"/>
      <c r="Q30" s="20"/>
      <c r="R30" s="29"/>
      <c r="S30" s="29"/>
      <c r="T30" s="29"/>
      <c r="U30" s="29"/>
    </row>
    <row r="31" spans="2:21" ht="20.100000000000001" customHeight="1">
      <c r="B31" s="24"/>
      <c r="C31" s="252" t="s">
        <v>157</v>
      </c>
      <c r="D31" s="29"/>
      <c r="E31" s="97"/>
      <c r="F31" s="97"/>
      <c r="G31" s="97"/>
      <c r="H31" s="97"/>
      <c r="I31" s="97"/>
      <c r="J31" s="97"/>
      <c r="K31" s="97"/>
      <c r="L31" s="97"/>
      <c r="M31" s="97"/>
      <c r="N31" s="97"/>
      <c r="O31" s="97"/>
      <c r="P31" s="97"/>
      <c r="Q31" s="20"/>
      <c r="R31" s="29"/>
      <c r="S31" s="29"/>
      <c r="T31" s="29"/>
      <c r="U31" s="29"/>
    </row>
    <row r="32" spans="2:21" ht="15" customHeight="1">
      <c r="B32" s="33"/>
      <c r="C32" s="29"/>
      <c r="D32" s="47"/>
      <c r="E32" s="97"/>
      <c r="F32" s="97"/>
      <c r="G32" s="97"/>
      <c r="H32" s="97"/>
      <c r="I32" s="97"/>
      <c r="J32" s="97"/>
      <c r="K32" s="97"/>
      <c r="L32" s="97"/>
      <c r="M32" s="97"/>
      <c r="N32" s="47"/>
      <c r="O32" s="97"/>
      <c r="P32" s="97"/>
      <c r="Q32" s="31"/>
      <c r="R32" s="29"/>
      <c r="S32" s="29"/>
      <c r="T32" s="29"/>
      <c r="U32" s="29"/>
    </row>
    <row r="33" spans="2:21" ht="15" customHeight="1">
      <c r="B33" s="33"/>
      <c r="C33" s="29"/>
      <c r="D33" s="47"/>
      <c r="E33" s="97"/>
      <c r="F33" s="1010" t="s">
        <v>410</v>
      </c>
      <c r="G33" s="366"/>
      <c r="H33" s="1009" t="s">
        <v>10</v>
      </c>
      <c r="I33" s="1009"/>
      <c r="J33" s="1009"/>
      <c r="K33" s="1009"/>
      <c r="L33" s="1009"/>
      <c r="M33" s="1009"/>
      <c r="N33" s="1009"/>
      <c r="O33" s="1009"/>
      <c r="P33" s="1009"/>
      <c r="Q33" s="31"/>
      <c r="R33" s="29"/>
      <c r="S33" s="29"/>
      <c r="T33" s="29"/>
      <c r="U33" s="29"/>
    </row>
    <row r="34" spans="2:21" ht="21.75" customHeight="1">
      <c r="B34" s="33"/>
      <c r="C34" s="29"/>
      <c r="D34" s="47"/>
      <c r="E34" s="27"/>
      <c r="F34" s="1011"/>
      <c r="G34" s="366"/>
      <c r="H34" s="561" t="s">
        <v>5</v>
      </c>
      <c r="I34" s="365"/>
      <c r="J34" s="561" t="s">
        <v>6</v>
      </c>
      <c r="K34" s="365"/>
      <c r="L34" s="561" t="s">
        <v>7</v>
      </c>
      <c r="M34" s="365"/>
      <c r="N34" s="561" t="s">
        <v>8</v>
      </c>
      <c r="O34" s="365"/>
      <c r="P34" s="561" t="s">
        <v>9</v>
      </c>
      <c r="Q34" s="31"/>
      <c r="R34" s="29"/>
      <c r="S34" s="29"/>
      <c r="T34" s="29"/>
      <c r="U34" s="29"/>
    </row>
    <row r="35" spans="2:21" ht="27.75" customHeight="1">
      <c r="B35" s="33"/>
      <c r="C35" s="65" t="s">
        <v>295</v>
      </c>
      <c r="D35" s="47"/>
      <c r="E35" s="372" t="s">
        <v>199</v>
      </c>
      <c r="F35" s="437"/>
      <c r="G35" s="438"/>
      <c r="H35" s="437"/>
      <c r="I35" s="438"/>
      <c r="J35" s="437"/>
      <c r="K35" s="438"/>
      <c r="L35" s="437"/>
      <c r="M35" s="438"/>
      <c r="N35" s="437"/>
      <c r="O35" s="438"/>
      <c r="P35" s="437"/>
      <c r="Q35" s="31"/>
      <c r="R35" s="29"/>
      <c r="S35" s="29"/>
      <c r="T35" s="29"/>
      <c r="U35" s="29"/>
    </row>
    <row r="36" spans="2:21" ht="30" customHeight="1">
      <c r="B36" s="138"/>
      <c r="C36" s="65" t="s">
        <v>209</v>
      </c>
      <c r="D36" s="47"/>
      <c r="E36" s="27"/>
      <c r="F36" s="439"/>
      <c r="G36" s="440"/>
      <c r="H36" s="439"/>
      <c r="I36" s="440"/>
      <c r="J36" s="439"/>
      <c r="K36" s="440"/>
      <c r="L36" s="439"/>
      <c r="M36" s="440"/>
      <c r="N36" s="439"/>
      <c r="O36" s="440"/>
      <c r="P36" s="441"/>
      <c r="Q36" s="31"/>
      <c r="R36" s="29"/>
      <c r="S36" s="29"/>
      <c r="T36" s="29"/>
      <c r="U36" s="29"/>
    </row>
    <row r="37" spans="2:21" ht="45" customHeight="1">
      <c r="B37" s="138"/>
      <c r="C37" s="65" t="s">
        <v>699</v>
      </c>
      <c r="D37" s="47"/>
      <c r="E37" s="27"/>
      <c r="F37" s="769" t="str">
        <f>IF(code0="","!!!! No ID number. The tool will not return any result. Please fill in ID number of this option","")</f>
        <v>!!!! No ID number. The tool will not return any result. Please fill in ID number of this option</v>
      </c>
      <c r="G37" s="573"/>
      <c r="H37" s="769" t="str">
        <f>IF(code1="","!!! No ID number.The tool will not consider this option","")</f>
        <v>!!! No ID number.The tool will not consider this option</v>
      </c>
      <c r="I37" s="573"/>
      <c r="J37" s="769" t="str">
        <f>IF(code2="","!!! No ID number.The tool will not consider this option","")</f>
        <v>!!! No ID number.The tool will not consider this option</v>
      </c>
      <c r="K37" s="573"/>
      <c r="L37" s="769" t="str">
        <f>IF(code3="","!!! No ID number.The tool will not consider this option","")</f>
        <v>!!! No ID number.The tool will not consider this option</v>
      </c>
      <c r="M37" s="573"/>
      <c r="N37" s="769" t="str">
        <f>IF(code4="","!!! No ID number.The tool will not consider this option","")</f>
        <v>!!! No ID number.The tool will not consider this option</v>
      </c>
      <c r="O37" s="573"/>
      <c r="P37" s="769" t="str">
        <f>IF(code5="","!!! No ID number.The tool will not consider this option","")</f>
        <v>!!! No ID number.The tool will not consider this option</v>
      </c>
      <c r="Q37" s="31"/>
      <c r="R37" s="29"/>
      <c r="S37" s="29"/>
      <c r="T37" s="29"/>
      <c r="U37" s="29"/>
    </row>
    <row r="38" spans="2:21" ht="15" customHeight="1">
      <c r="B38" s="33"/>
      <c r="C38" s="288" t="str">
        <f>"Implementation cost ("&amp; currency &amp;")"</f>
        <v>Implementation cost ()</v>
      </c>
      <c r="D38" s="289"/>
      <c r="E38" s="371" t="s">
        <v>199</v>
      </c>
      <c r="F38" s="772">
        <v>0</v>
      </c>
      <c r="G38" s="292"/>
      <c r="H38" s="410"/>
      <c r="I38" s="292"/>
      <c r="J38" s="777"/>
      <c r="K38" s="292"/>
      <c r="L38" s="410"/>
      <c r="M38" s="292"/>
      <c r="N38" s="410"/>
      <c r="O38" s="292"/>
      <c r="P38" s="410"/>
      <c r="Q38" s="31"/>
      <c r="R38" s="29"/>
      <c r="S38" s="29"/>
      <c r="T38" s="29"/>
      <c r="U38" s="29"/>
    </row>
    <row r="39" spans="2:21" ht="15" customHeight="1">
      <c r="B39" s="33"/>
      <c r="C39" s="283" t="str">
        <f>"Maintenance cost per year ("&amp;currency&amp;")"</f>
        <v>Maintenance cost per year ()</v>
      </c>
      <c r="D39" s="85"/>
      <c r="E39" s="373" t="s">
        <v>199</v>
      </c>
      <c r="F39" s="287"/>
      <c r="G39" s="284"/>
      <c r="H39" s="285"/>
      <c r="I39" s="286"/>
      <c r="J39" s="287"/>
      <c r="K39" s="286"/>
      <c r="L39" s="285"/>
      <c r="M39" s="286"/>
      <c r="N39" s="285"/>
      <c r="O39" s="284"/>
      <c r="P39" s="285"/>
      <c r="Q39" s="31"/>
      <c r="R39" s="29"/>
      <c r="S39" s="29"/>
      <c r="T39" s="29"/>
      <c r="U39" s="29"/>
    </row>
    <row r="40" spans="2:21" ht="21">
      <c r="B40" s="33"/>
      <c r="C40" s="774"/>
      <c r="D40" s="97"/>
      <c r="E40" s="27"/>
      <c r="F40" s="775" t="str">
        <f>IF(AND(code0&lt;&gt;"",OR(F38="",F39="")),"! No cost. The tool will not include this option in cost-benefit analysis","")</f>
        <v/>
      </c>
      <c r="G40" s="105"/>
      <c r="H40" s="775" t="str">
        <f>IF(AND(code1&lt;&gt;"",OR(H38="",H39="")),"! No cost. The tool will not include this option in cost-benefit analysis","")</f>
        <v/>
      </c>
      <c r="I40" s="105"/>
      <c r="J40" s="775" t="str">
        <f>IF(AND(code2&lt;&gt;"",OR(J38="",J39="")),"! No cost. The tool will not include this option in cost-benefit analysis","")</f>
        <v/>
      </c>
      <c r="K40" s="105"/>
      <c r="L40" s="775" t="str">
        <f>IF(AND(code3&lt;&gt;"",OR(L38="",L39="")),"! No cost. The tool will not include this option in cost-benefit analysis","")</f>
        <v/>
      </c>
      <c r="M40" s="105"/>
      <c r="N40" s="775" t="str">
        <f>IF(AND(code4&lt;&gt;"",OR(N38="",N39="")),"! No cost. The tool will not include this option in cost-benefit analysis","")</f>
        <v/>
      </c>
      <c r="O40" s="105"/>
      <c r="P40" s="775" t="str">
        <f>IF(AND(code5&lt;&gt;"",OR(P38="",P39="")),"! No cost. The tool will not include this option in cost-benefit analysis","")</f>
        <v/>
      </c>
      <c r="Q40" s="31"/>
      <c r="R40" s="29"/>
      <c r="S40" s="29"/>
      <c r="T40" s="29"/>
      <c r="U40" s="29"/>
    </row>
    <row r="41" spans="2:21" ht="6.75" customHeight="1">
      <c r="B41" s="33"/>
      <c r="C41" s="65"/>
      <c r="D41" s="47"/>
      <c r="E41" s="27"/>
      <c r="F41" s="105"/>
      <c r="G41" s="105"/>
      <c r="H41" s="105"/>
      <c r="I41" s="105"/>
      <c r="J41" s="105"/>
      <c r="K41" s="105"/>
      <c r="L41" s="105"/>
      <c r="M41" s="105"/>
      <c r="N41" s="105"/>
      <c r="O41" s="105"/>
      <c r="P41" s="105"/>
      <c r="Q41" s="31"/>
      <c r="R41" s="29"/>
      <c r="S41" s="29"/>
      <c r="T41" s="29"/>
      <c r="U41" s="29"/>
    </row>
    <row r="42" spans="2:21" ht="16.5" customHeight="1">
      <c r="B42" s="34"/>
      <c r="C42" s="49" t="s">
        <v>411</v>
      </c>
      <c r="D42" s="49"/>
      <c r="E42" s="372"/>
      <c r="F42" s="106"/>
      <c r="G42" s="106"/>
      <c r="H42" s="107"/>
      <c r="I42" s="106"/>
      <c r="J42" s="107"/>
      <c r="K42" s="106"/>
      <c r="L42" s="107"/>
      <c r="M42" s="106"/>
      <c r="N42" s="107"/>
      <c r="O42" s="106"/>
      <c r="P42" s="107"/>
      <c r="Q42" s="36"/>
      <c r="R42" s="29"/>
      <c r="S42" s="29"/>
      <c r="T42" s="29"/>
      <c r="U42" s="29"/>
    </row>
    <row r="43" spans="2:21" ht="30" customHeight="1">
      <c r="B43" s="34"/>
      <c r="C43" s="1005" t="s">
        <v>613</v>
      </c>
      <c r="D43" s="1005"/>
      <c r="E43" s="1005"/>
      <c r="F43" s="106"/>
      <c r="G43" s="106"/>
      <c r="H43" s="107"/>
      <c r="I43" s="106"/>
      <c r="J43" s="107"/>
      <c r="K43" s="106"/>
      <c r="L43" s="107"/>
      <c r="M43" s="106"/>
      <c r="N43" s="103"/>
      <c r="O43" s="106"/>
      <c r="P43" s="107"/>
      <c r="Q43" s="36"/>
      <c r="R43" s="29"/>
      <c r="S43" s="29"/>
      <c r="T43" s="29"/>
      <c r="U43" s="29"/>
    </row>
    <row r="44" spans="2:21" ht="15" customHeight="1">
      <c r="B44" s="30"/>
      <c r="C44" s="29"/>
      <c r="D44" s="47" t="s">
        <v>206</v>
      </c>
      <c r="E44" s="45"/>
      <c r="F44" s="411"/>
      <c r="G44" s="430"/>
      <c r="H44" s="411"/>
      <c r="I44" s="430"/>
      <c r="J44" s="411"/>
      <c r="K44" s="430"/>
      <c r="L44" s="411"/>
      <c r="M44" s="430"/>
      <c r="N44" s="411"/>
      <c r="O44" s="430"/>
      <c r="P44" s="411"/>
      <c r="Q44" s="31"/>
      <c r="R44" s="29"/>
      <c r="S44" s="29"/>
      <c r="T44" s="29"/>
      <c r="U44" s="29"/>
    </row>
    <row r="45" spans="2:21" ht="15" customHeight="1">
      <c r="B45" s="30"/>
      <c r="C45" s="29"/>
      <c r="D45" s="47" t="s">
        <v>424</v>
      </c>
      <c r="E45" s="45"/>
      <c r="F45" s="407"/>
      <c r="G45" s="211"/>
      <c r="H45" s="407"/>
      <c r="I45" s="211"/>
      <c r="J45" s="407"/>
      <c r="K45" s="211"/>
      <c r="L45" s="407"/>
      <c r="M45" s="211"/>
      <c r="N45" s="408"/>
      <c r="O45" s="211"/>
      <c r="P45" s="407"/>
      <c r="Q45" s="31"/>
      <c r="R45" s="29"/>
      <c r="S45" s="29"/>
      <c r="T45" s="29"/>
      <c r="U45" s="29"/>
    </row>
    <row r="46" spans="2:21" ht="15" customHeight="1">
      <c r="B46" s="30"/>
      <c r="C46" s="29"/>
      <c r="D46" s="47" t="s">
        <v>78</v>
      </c>
      <c r="E46" s="45"/>
      <c r="F46" s="407"/>
      <c r="G46" s="211"/>
      <c r="H46" s="407"/>
      <c r="I46" s="211"/>
      <c r="J46" s="407"/>
      <c r="K46" s="211"/>
      <c r="L46" s="407"/>
      <c r="M46" s="211"/>
      <c r="N46" s="407"/>
      <c r="O46" s="211"/>
      <c r="P46" s="407"/>
      <c r="Q46" s="31"/>
      <c r="R46" s="29"/>
      <c r="S46" s="29"/>
      <c r="T46" s="29"/>
      <c r="U46" s="29"/>
    </row>
    <row r="47" spans="2:21" ht="15" customHeight="1">
      <c r="B47" s="30"/>
      <c r="C47" s="29"/>
      <c r="D47" s="47" t="s">
        <v>205</v>
      </c>
      <c r="E47" s="45"/>
      <c r="F47" s="407"/>
      <c r="G47" s="211"/>
      <c r="H47" s="407"/>
      <c r="I47" s="431"/>
      <c r="J47" s="407"/>
      <c r="K47" s="431"/>
      <c r="L47" s="407"/>
      <c r="M47" s="431"/>
      <c r="N47" s="407"/>
      <c r="O47" s="431"/>
      <c r="P47" s="407"/>
      <c r="Q47" s="31"/>
      <c r="R47" s="29"/>
      <c r="S47" s="29"/>
      <c r="T47" s="29"/>
      <c r="U47" s="29"/>
    </row>
    <row r="48" spans="2:21" ht="15" customHeight="1">
      <c r="B48" s="30"/>
      <c r="C48" s="29"/>
      <c r="D48" s="47" t="s">
        <v>207</v>
      </c>
      <c r="E48" s="45"/>
      <c r="F48" s="407"/>
      <c r="G48" s="211"/>
      <c r="H48" s="407"/>
      <c r="I48" s="211"/>
      <c r="J48" s="407"/>
      <c r="K48" s="211"/>
      <c r="L48" s="407"/>
      <c r="M48" s="211"/>
      <c r="N48" s="407"/>
      <c r="O48" s="211"/>
      <c r="P48" s="407"/>
      <c r="Q48" s="31"/>
      <c r="R48" s="29"/>
      <c r="S48" s="29"/>
      <c r="T48" s="29"/>
      <c r="U48" s="29"/>
    </row>
    <row r="49" spans="2:21" ht="15" customHeight="1">
      <c r="B49" s="30"/>
      <c r="C49" s="27"/>
      <c r="D49" s="47" t="s">
        <v>256</v>
      </c>
      <c r="E49" s="372" t="s">
        <v>199</v>
      </c>
      <c r="F49" s="407"/>
      <c r="G49" s="105"/>
      <c r="H49" s="407"/>
      <c r="I49" s="105"/>
      <c r="J49" s="411"/>
      <c r="K49" s="105"/>
      <c r="L49" s="407"/>
      <c r="M49" s="431"/>
      <c r="N49" s="407"/>
      <c r="O49" s="105"/>
      <c r="P49" s="411"/>
      <c r="Q49" s="31"/>
      <c r="R49" s="29"/>
      <c r="S49" s="29"/>
      <c r="T49" s="29"/>
      <c r="U49" s="29"/>
    </row>
    <row r="50" spans="2:21" ht="15" customHeight="1">
      <c r="B50" s="30"/>
      <c r="C50" s="27"/>
      <c r="D50" s="47" t="s">
        <v>261</v>
      </c>
      <c r="E50" s="27"/>
      <c r="F50" s="407"/>
      <c r="G50" s="105"/>
      <c r="H50" s="407"/>
      <c r="I50" s="105"/>
      <c r="J50" s="411"/>
      <c r="K50" s="105"/>
      <c r="L50" s="411"/>
      <c r="M50" s="105"/>
      <c r="N50" s="411"/>
      <c r="O50" s="105"/>
      <c r="P50" s="411"/>
      <c r="Q50" s="31"/>
      <c r="R50" s="29"/>
      <c r="S50" s="29"/>
      <c r="T50" s="29"/>
      <c r="U50" s="29"/>
    </row>
    <row r="51" spans="2:21" ht="15" customHeight="1">
      <c r="B51" s="30"/>
      <c r="C51" s="2"/>
      <c r="D51" s="13" t="s">
        <v>257</v>
      </c>
      <c r="E51" s="372"/>
      <c r="F51" s="408"/>
      <c r="G51" s="108"/>
      <c r="H51" s="408"/>
      <c r="I51" s="108"/>
      <c r="J51" s="408"/>
      <c r="K51" s="108"/>
      <c r="L51" s="408"/>
      <c r="M51" s="108"/>
      <c r="N51" s="408"/>
      <c r="O51" s="108"/>
      <c r="P51" s="408"/>
      <c r="Q51" s="31"/>
      <c r="R51" s="29"/>
      <c r="S51" s="29"/>
      <c r="T51" s="29"/>
      <c r="U51" s="29"/>
    </row>
    <row r="52" spans="2:21" ht="15" customHeight="1" thickBot="1">
      <c r="B52" s="33"/>
      <c r="C52" s="2"/>
      <c r="D52" s="54" t="s">
        <v>208</v>
      </c>
      <c r="E52" s="55"/>
      <c r="F52" s="409"/>
      <c r="G52" s="109"/>
      <c r="H52" s="409"/>
      <c r="I52" s="109"/>
      <c r="J52" s="409"/>
      <c r="K52" s="109"/>
      <c r="L52" s="409"/>
      <c r="M52" s="109"/>
      <c r="N52" s="409"/>
      <c r="O52" s="109"/>
      <c r="P52" s="409"/>
      <c r="Q52" s="31"/>
    </row>
    <row r="53" spans="2:21" ht="15" customHeight="1" thickTop="1">
      <c r="B53" s="33"/>
      <c r="C53" s="2"/>
      <c r="D53" s="13" t="s">
        <v>425</v>
      </c>
      <c r="E53" s="2"/>
      <c r="F53" s="776" t="str">
        <f t="shared" ref="F53:P53" si="0">IF(SUM(F44:F52)=0,"",SUM(F44:F52))</f>
        <v/>
      </c>
      <c r="G53" s="140" t="str">
        <f t="shared" si="0"/>
        <v/>
      </c>
      <c r="H53" s="776" t="str">
        <f t="shared" si="0"/>
        <v/>
      </c>
      <c r="I53" s="140" t="str">
        <f t="shared" si="0"/>
        <v/>
      </c>
      <c r="J53" s="776" t="str">
        <f t="shared" si="0"/>
        <v/>
      </c>
      <c r="K53" s="140" t="str">
        <f t="shared" si="0"/>
        <v/>
      </c>
      <c r="L53" s="776" t="str">
        <f t="shared" si="0"/>
        <v/>
      </c>
      <c r="M53" s="140" t="str">
        <f t="shared" si="0"/>
        <v/>
      </c>
      <c r="N53" s="776" t="str">
        <f t="shared" si="0"/>
        <v/>
      </c>
      <c r="O53" s="140" t="str">
        <f t="shared" si="0"/>
        <v/>
      </c>
      <c r="P53" s="776" t="str">
        <f t="shared" si="0"/>
        <v/>
      </c>
      <c r="Q53" s="31"/>
    </row>
    <row r="54" spans="2:21" ht="6.75" customHeight="1">
      <c r="B54" s="33"/>
      <c r="C54" s="2"/>
      <c r="D54" s="13"/>
      <c r="E54" s="2"/>
      <c r="F54" s="108"/>
      <c r="G54" s="108"/>
      <c r="H54" s="108"/>
      <c r="I54" s="108"/>
      <c r="J54" s="108"/>
      <c r="K54" s="108"/>
      <c r="L54" s="108"/>
      <c r="M54" s="108"/>
      <c r="N54" s="108"/>
      <c r="O54" s="108"/>
      <c r="P54" s="108"/>
      <c r="Q54" s="31"/>
    </row>
    <row r="55" spans="2:21" ht="16.5" customHeight="1">
      <c r="B55" s="34"/>
      <c r="C55" s="49" t="s">
        <v>611</v>
      </c>
      <c r="D55" s="49"/>
      <c r="E55" s="49"/>
      <c r="F55" s="106"/>
      <c r="G55" s="106"/>
      <c r="H55" s="107"/>
      <c r="I55" s="106"/>
      <c r="J55" s="107"/>
      <c r="K55" s="106"/>
      <c r="L55" s="107"/>
      <c r="M55" s="106"/>
      <c r="N55" s="103"/>
      <c r="O55" s="106"/>
      <c r="P55" s="107"/>
      <c r="Q55" s="36"/>
      <c r="R55" s="29"/>
      <c r="S55" s="29"/>
      <c r="T55" s="29"/>
      <c r="U55" s="29"/>
    </row>
    <row r="56" spans="2:21" ht="30" customHeight="1">
      <c r="B56" s="34"/>
      <c r="C56" s="1005" t="s">
        <v>612</v>
      </c>
      <c r="D56" s="1005"/>
      <c r="E56" s="1005"/>
      <c r="F56" s="106"/>
      <c r="G56" s="106"/>
      <c r="H56" s="107"/>
      <c r="I56" s="106"/>
      <c r="J56" s="107"/>
      <c r="K56" s="106"/>
      <c r="L56" s="107"/>
      <c r="M56" s="106"/>
      <c r="N56" s="103"/>
      <c r="O56" s="106"/>
      <c r="P56" s="107"/>
      <c r="Q56" s="36"/>
      <c r="R56" s="29"/>
      <c r="S56" s="29"/>
      <c r="T56" s="29"/>
      <c r="U56" s="29"/>
    </row>
    <row r="57" spans="2:21" ht="15" customHeight="1">
      <c r="B57" s="30"/>
      <c r="C57" s="29"/>
      <c r="D57" s="47" t="s">
        <v>204</v>
      </c>
      <c r="E57" s="372"/>
      <c r="F57" s="113"/>
      <c r="G57" s="211"/>
      <c r="H57" s="113"/>
      <c r="I57" s="211"/>
      <c r="J57" s="113"/>
      <c r="K57" s="211"/>
      <c r="L57" s="113"/>
      <c r="M57" s="211"/>
      <c r="N57" s="113"/>
      <c r="O57" s="211"/>
      <c r="P57" s="113"/>
      <c r="Q57" s="31"/>
      <c r="R57" s="29"/>
      <c r="S57" s="29"/>
      <c r="T57" s="29"/>
      <c r="U57" s="29"/>
    </row>
    <row r="58" spans="2:21" ht="15" customHeight="1">
      <c r="B58" s="30"/>
      <c r="C58" s="29"/>
      <c r="D58" s="47" t="s">
        <v>602</v>
      </c>
      <c r="E58" s="372" t="s">
        <v>199</v>
      </c>
      <c r="F58" s="113"/>
      <c r="G58" s="211"/>
      <c r="H58" s="113"/>
      <c r="I58" s="211"/>
      <c r="J58" s="113"/>
      <c r="K58" s="211"/>
      <c r="L58" s="113"/>
      <c r="M58" s="211"/>
      <c r="N58" s="113"/>
      <c r="O58" s="211"/>
      <c r="P58" s="113"/>
      <c r="Q58" s="31"/>
      <c r="R58" s="29"/>
      <c r="S58" s="29"/>
      <c r="T58" s="29"/>
      <c r="U58" s="29"/>
    </row>
    <row r="59" spans="2:21" ht="15" customHeight="1">
      <c r="B59" s="30"/>
      <c r="C59" s="27"/>
      <c r="D59" s="47" t="s">
        <v>275</v>
      </c>
      <c r="E59" s="27"/>
      <c r="F59" s="112"/>
      <c r="G59" s="105"/>
      <c r="H59" s="112"/>
      <c r="I59" s="105"/>
      <c r="J59" s="112"/>
      <c r="K59" s="105"/>
      <c r="L59" s="112"/>
      <c r="M59" s="105"/>
      <c r="N59" s="112"/>
      <c r="O59" s="105"/>
      <c r="P59" s="112"/>
      <c r="Q59" s="31"/>
      <c r="R59" s="29"/>
      <c r="S59" s="29"/>
      <c r="T59" s="29"/>
      <c r="U59" s="29"/>
    </row>
    <row r="60" spans="2:21" ht="15" customHeight="1">
      <c r="B60" s="30"/>
      <c r="C60" s="29"/>
      <c r="D60" s="47" t="s">
        <v>202</v>
      </c>
      <c r="E60" s="372"/>
      <c r="F60" s="113"/>
      <c r="G60" s="211"/>
      <c r="H60" s="113"/>
      <c r="I60" s="211"/>
      <c r="J60" s="113"/>
      <c r="K60" s="211"/>
      <c r="L60" s="113"/>
      <c r="M60" s="211"/>
      <c r="N60" s="113"/>
      <c r="O60" s="211"/>
      <c r="P60" s="113"/>
      <c r="Q60" s="31"/>
      <c r="R60" s="29"/>
      <c r="S60" s="29"/>
      <c r="T60" s="29"/>
      <c r="U60" s="29"/>
    </row>
    <row r="61" spans="2:21" ht="15" customHeight="1">
      <c r="B61" s="30"/>
      <c r="C61" s="29"/>
      <c r="D61" s="47" t="s">
        <v>201</v>
      </c>
      <c r="E61" s="372"/>
      <c r="F61" s="113"/>
      <c r="G61" s="211"/>
      <c r="H61" s="113"/>
      <c r="I61" s="211"/>
      <c r="J61" s="113"/>
      <c r="K61" s="211"/>
      <c r="L61" s="113"/>
      <c r="M61" s="211"/>
      <c r="N61" s="113"/>
      <c r="O61" s="211"/>
      <c r="P61" s="113"/>
      <c r="Q61" s="31"/>
      <c r="R61" s="29"/>
      <c r="S61" s="29"/>
      <c r="T61" s="29"/>
      <c r="U61" s="29"/>
    </row>
    <row r="62" spans="2:21" ht="15" customHeight="1">
      <c r="B62" s="30"/>
      <c r="C62" s="2"/>
      <c r="D62" s="13" t="s">
        <v>200</v>
      </c>
      <c r="E62" s="372" t="s">
        <v>199</v>
      </c>
      <c r="F62" s="114"/>
      <c r="G62" s="108"/>
      <c r="H62" s="114"/>
      <c r="I62" s="108"/>
      <c r="J62" s="114"/>
      <c r="K62" s="108"/>
      <c r="L62" s="114"/>
      <c r="M62" s="108"/>
      <c r="N62" s="114"/>
      <c r="O62" s="108"/>
      <c r="P62" s="114"/>
      <c r="Q62" s="31"/>
      <c r="R62" s="29"/>
      <c r="S62" s="29"/>
      <c r="T62" s="29"/>
      <c r="U62" s="29"/>
    </row>
    <row r="63" spans="2:21" ht="15" customHeight="1">
      <c r="B63" s="33"/>
      <c r="C63" s="2"/>
      <c r="D63" s="13"/>
      <c r="E63" s="2"/>
      <c r="F63" s="139"/>
      <c r="G63" s="139"/>
      <c r="H63" s="139"/>
      <c r="I63" s="139"/>
      <c r="J63" s="139"/>
      <c r="K63" s="139"/>
      <c r="L63" s="139"/>
      <c r="M63" s="139"/>
      <c r="N63" s="139"/>
      <c r="O63" s="139"/>
      <c r="P63" s="139"/>
      <c r="Q63" s="31"/>
    </row>
    <row r="64" spans="2:21" ht="15" customHeight="1">
      <c r="B64" s="33"/>
      <c r="C64" s="49" t="s">
        <v>294</v>
      </c>
      <c r="D64" s="13"/>
      <c r="E64" s="2"/>
      <c r="F64" s="139"/>
      <c r="G64" s="139"/>
      <c r="H64" s="139"/>
      <c r="I64" s="139"/>
      <c r="J64" s="139"/>
      <c r="K64" s="139"/>
      <c r="L64" s="139"/>
      <c r="M64" s="139"/>
      <c r="N64" s="139"/>
      <c r="O64" s="139"/>
      <c r="P64" s="139"/>
      <c r="Q64" s="31"/>
    </row>
    <row r="65" spans="2:17" ht="15" customHeight="1">
      <c r="B65" s="33"/>
      <c r="C65" s="1005" t="s">
        <v>605</v>
      </c>
      <c r="D65" s="1005"/>
      <c r="E65" s="1005"/>
      <c r="F65" s="139"/>
      <c r="G65" s="139"/>
      <c r="H65" s="139"/>
      <c r="I65" s="139"/>
      <c r="J65" s="139"/>
      <c r="K65" s="139"/>
      <c r="L65" s="139"/>
      <c r="M65" s="139"/>
      <c r="N65" s="139"/>
      <c r="O65" s="139"/>
      <c r="P65" s="139"/>
      <c r="Q65" s="31"/>
    </row>
    <row r="66" spans="2:17" ht="15" customHeight="1">
      <c r="B66" s="33"/>
      <c r="C66" s="49"/>
      <c r="D66" s="13" t="s">
        <v>604</v>
      </c>
      <c r="E66" s="2"/>
      <c r="F66" s="692"/>
      <c r="G66" s="691"/>
      <c r="H66" s="692"/>
      <c r="I66" s="691"/>
      <c r="J66" s="692"/>
      <c r="K66" s="691"/>
      <c r="L66" s="692"/>
      <c r="M66" s="691"/>
      <c r="N66" s="692"/>
      <c r="O66" s="691"/>
      <c r="P66" s="692"/>
      <c r="Q66" s="31"/>
    </row>
    <row r="67" spans="2:17" ht="30.75" customHeight="1">
      <c r="B67" s="33"/>
      <c r="C67" s="49"/>
      <c r="D67" s="89" t="s">
        <v>603</v>
      </c>
      <c r="E67" s="372" t="s">
        <v>199</v>
      </c>
      <c r="F67" s="170"/>
      <c r="G67" s="211"/>
      <c r="H67" s="170"/>
      <c r="I67" s="211"/>
      <c r="J67" s="170"/>
      <c r="K67" s="211"/>
      <c r="L67" s="170"/>
      <c r="M67" s="211"/>
      <c r="N67" s="170"/>
      <c r="O67" s="211"/>
      <c r="P67" s="170"/>
      <c r="Q67" s="31"/>
    </row>
    <row r="68" spans="2:17" ht="15" customHeight="1">
      <c r="B68" s="33"/>
      <c r="C68" s="49"/>
      <c r="D68" s="13" t="s">
        <v>429</v>
      </c>
      <c r="E68" s="2"/>
      <c r="F68" s="113"/>
      <c r="G68" s="211"/>
      <c r="H68" s="113"/>
      <c r="I68" s="211"/>
      <c r="J68" s="113"/>
      <c r="K68" s="211"/>
      <c r="L68" s="113"/>
      <c r="M68" s="211"/>
      <c r="N68" s="113"/>
      <c r="O68" s="211"/>
      <c r="P68" s="113"/>
      <c r="Q68" s="31"/>
    </row>
    <row r="69" spans="2:17" ht="15" customHeight="1">
      <c r="B69" s="33"/>
      <c r="C69" s="2"/>
      <c r="D69" s="13" t="s">
        <v>430</v>
      </c>
      <c r="E69" s="2"/>
      <c r="F69" s="113"/>
      <c r="G69" s="211"/>
      <c r="H69" s="113"/>
      <c r="I69" s="211"/>
      <c r="J69" s="113"/>
      <c r="K69" s="211"/>
      <c r="L69" s="113"/>
      <c r="M69" s="211"/>
      <c r="N69" s="113"/>
      <c r="O69" s="211"/>
      <c r="P69" s="113"/>
      <c r="Q69" s="31"/>
    </row>
    <row r="70" spans="2:17" ht="15" customHeight="1">
      <c r="B70" s="33"/>
      <c r="C70" s="2"/>
      <c r="D70" s="13" t="s">
        <v>431</v>
      </c>
      <c r="E70" s="2"/>
      <c r="F70" s="113"/>
      <c r="G70" s="211"/>
      <c r="H70" s="113"/>
      <c r="I70" s="211"/>
      <c r="J70" s="113"/>
      <c r="K70" s="211"/>
      <c r="L70" s="113"/>
      <c r="M70" s="211"/>
      <c r="N70" s="113"/>
      <c r="O70" s="211"/>
      <c r="P70" s="113"/>
      <c r="Q70" s="31"/>
    </row>
    <row r="71" spans="2:17" ht="15" customHeight="1">
      <c r="B71" s="33"/>
      <c r="C71" s="2"/>
      <c r="D71" s="13" t="s">
        <v>426</v>
      </c>
      <c r="E71" s="2"/>
      <c r="F71" s="113"/>
      <c r="G71" s="211"/>
      <c r="H71" s="113"/>
      <c r="I71" s="211"/>
      <c r="J71" s="113"/>
      <c r="K71" s="211"/>
      <c r="L71" s="113"/>
      <c r="M71" s="211"/>
      <c r="N71" s="113"/>
      <c r="O71" s="211"/>
      <c r="P71" s="113"/>
      <c r="Q71" s="31"/>
    </row>
    <row r="72" spans="2:17" ht="15" customHeight="1">
      <c r="B72" s="33"/>
      <c r="C72" s="2"/>
      <c r="D72" s="13" t="s">
        <v>427</v>
      </c>
      <c r="E72" s="2"/>
      <c r="F72" s="407"/>
      <c r="G72" s="211"/>
      <c r="H72" s="407"/>
      <c r="I72" s="211"/>
      <c r="J72" s="407"/>
      <c r="K72" s="211"/>
      <c r="L72" s="407"/>
      <c r="M72" s="211"/>
      <c r="N72" s="407"/>
      <c r="O72" s="211"/>
      <c r="P72" s="407"/>
      <c r="Q72" s="31"/>
    </row>
    <row r="73" spans="2:17" ht="15" customHeight="1">
      <c r="B73" s="33"/>
      <c r="C73" s="2"/>
      <c r="D73" s="13" t="s">
        <v>428</v>
      </c>
      <c r="E73" s="2"/>
      <c r="F73" s="113"/>
      <c r="G73" s="211"/>
      <c r="H73" s="113"/>
      <c r="I73" s="211"/>
      <c r="J73" s="113"/>
      <c r="K73" s="211"/>
      <c r="L73" s="113"/>
      <c r="M73" s="211"/>
      <c r="N73" s="113"/>
      <c r="O73" s="211"/>
      <c r="P73" s="113"/>
      <c r="Q73" s="31"/>
    </row>
    <row r="74" spans="2:17" ht="15" customHeight="1">
      <c r="B74" s="33"/>
      <c r="C74" s="2"/>
      <c r="D74" s="13"/>
      <c r="E74" s="2"/>
      <c r="F74" s="139"/>
      <c r="G74" s="139"/>
      <c r="H74" s="139"/>
      <c r="I74" s="139"/>
      <c r="J74" s="139"/>
      <c r="K74" s="139"/>
      <c r="L74" s="139"/>
      <c r="M74" s="139"/>
      <c r="N74" s="139"/>
      <c r="O74" s="139"/>
      <c r="P74" s="139"/>
      <c r="Q74" s="31"/>
    </row>
    <row r="75" spans="2:17" ht="15" customHeight="1">
      <c r="B75" s="33"/>
      <c r="C75" s="49" t="s">
        <v>543</v>
      </c>
      <c r="D75" s="13"/>
      <c r="E75" s="2"/>
      <c r="F75" s="139"/>
      <c r="G75" s="139"/>
      <c r="H75" s="139"/>
      <c r="I75" s="139"/>
      <c r="J75" s="139"/>
      <c r="K75" s="139"/>
      <c r="L75" s="139"/>
      <c r="M75" s="139"/>
      <c r="N75" s="139"/>
      <c r="O75" s="139"/>
      <c r="P75" s="139"/>
      <c r="Q75" s="31"/>
    </row>
    <row r="76" spans="2:17" ht="15" customHeight="1">
      <c r="B76" s="33"/>
      <c r="C76" s="63" t="s">
        <v>281</v>
      </c>
      <c r="D76" s="13"/>
      <c r="E76" s="2"/>
      <c r="F76" s="139"/>
      <c r="G76" s="139"/>
      <c r="H76" s="139"/>
      <c r="I76" s="139"/>
      <c r="J76" s="139"/>
      <c r="K76" s="139"/>
      <c r="L76" s="139"/>
      <c r="M76" s="139"/>
      <c r="N76" s="139"/>
      <c r="O76" s="139"/>
      <c r="P76" s="139"/>
      <c r="Q76" s="31"/>
    </row>
    <row r="77" spans="2:17" ht="29.25" customHeight="1">
      <c r="B77" s="33"/>
      <c r="C77" s="49"/>
      <c r="D77" s="753" t="s">
        <v>614</v>
      </c>
      <c r="E77" s="2"/>
      <c r="F77" s="170"/>
      <c r="G77" s="211"/>
      <c r="H77" s="170"/>
      <c r="I77" s="211"/>
      <c r="J77" s="170"/>
      <c r="K77" s="211"/>
      <c r="L77" s="170"/>
      <c r="M77" s="211"/>
      <c r="N77" s="170"/>
      <c r="O77" s="211"/>
      <c r="P77" s="170"/>
      <c r="Q77" s="31"/>
    </row>
    <row r="78" spans="2:17" ht="15">
      <c r="B78" s="33"/>
      <c r="C78" s="29"/>
      <c r="D78" s="89" t="s">
        <v>741</v>
      </c>
      <c r="E78" s="29"/>
      <c r="F78" s="559"/>
      <c r="G78" s="211"/>
      <c r="H78" s="559"/>
      <c r="I78" s="211"/>
      <c r="J78" s="559"/>
      <c r="K78" s="211"/>
      <c r="L78" s="559"/>
      <c r="M78" s="211"/>
      <c r="N78" s="559"/>
      <c r="O78" s="211"/>
      <c r="P78" s="170"/>
      <c r="Q78" s="31"/>
    </row>
    <row r="79" spans="2:17" ht="15">
      <c r="B79" s="33"/>
      <c r="C79" s="2"/>
      <c r="D79" s="89" t="s">
        <v>742</v>
      </c>
      <c r="E79" s="2"/>
      <c r="F79" s="559"/>
      <c r="G79" s="211"/>
      <c r="H79" s="559"/>
      <c r="I79" s="211"/>
      <c r="J79" s="559"/>
      <c r="K79" s="211"/>
      <c r="L79" s="559"/>
      <c r="M79" s="211"/>
      <c r="N79" s="559"/>
      <c r="O79" s="211"/>
      <c r="P79" s="170"/>
      <c r="Q79" s="31"/>
    </row>
    <row r="80" spans="2:17" ht="15" customHeight="1" thickBot="1">
      <c r="B80" s="37"/>
      <c r="C80" s="38"/>
      <c r="D80" s="38"/>
      <c r="E80" s="38"/>
      <c r="F80" s="38"/>
      <c r="G80" s="38"/>
      <c r="H80" s="38"/>
      <c r="I80" s="38"/>
      <c r="J80" s="38"/>
      <c r="K80" s="38"/>
      <c r="L80" s="38"/>
      <c r="M80" s="38"/>
      <c r="N80" s="38"/>
      <c r="O80" s="38"/>
      <c r="P80" s="38"/>
      <c r="Q80" s="39"/>
    </row>
    <row r="81" ht="15" hidden="1" customHeight="1"/>
    <row r="82" ht="15"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sheetData>
  <mergeCells count="11">
    <mergeCell ref="C56:E56"/>
    <mergeCell ref="C43:E43"/>
    <mergeCell ref="C65:E65"/>
    <mergeCell ref="B2:Q2"/>
    <mergeCell ref="H33:P33"/>
    <mergeCell ref="F33:F34"/>
    <mergeCell ref="D5:P5"/>
    <mergeCell ref="D6:P7"/>
    <mergeCell ref="D8:P8"/>
    <mergeCell ref="E12:M12"/>
    <mergeCell ref="D9:P9"/>
  </mergeCells>
  <dataValidations count="13">
    <dataValidation type="list" allowBlank="1" showInputMessage="1" showErrorMessage="1" sqref="N78:N79 P78:P79 L78:L79 J78:J79 H78:H79 F78:F79">
      <formula1>"Yes, No"</formula1>
    </dataValidation>
    <dataValidation type="list" allowBlank="1" showInputMessage="1" showErrorMessage="1" sqref="N77 F77 L77 P77 H77 J77">
      <formula1>list1_micro</formula1>
    </dataValidation>
    <dataValidation type="custom" allowBlank="1" showInputMessage="1" showErrorMessage="1" error="Value should be a positive number" sqref="I38:I39 K38:K39 M38:M39 O38:O39">
      <formula1>"&gt;=0"</formula1>
    </dataValidation>
    <dataValidation type="decimal" operator="greaterThanOrEqual" allowBlank="1" showInputMessage="1" showErrorMessage="1" error="Value should be a number &gt;=0" sqref="F39 P44:P52 L44:L52 N44:N52 J44:J52 H44:H52 F44:F52 P38:P39 N38:N39 L38:L39 J38:J39 H38:H39">
      <formula1>0</formula1>
    </dataValidation>
    <dataValidation type="whole" operator="greaterThanOrEqual" allowBlank="1" showInputMessage="1" showErrorMessage="1" error="Value should be a whole number &gt;=0" sqref="F57:F62 P57:P62 L57:L62 J57:J62 H57:H62 N57:N62">
      <formula1>0</formula1>
    </dataValidation>
    <dataValidation type="list" allowBlank="1" showInputMessage="1" showErrorMessage="1" sqref="F67 P67 L67 J67 H67 N67">
      <formula1>list1_cycle</formula1>
    </dataValidation>
    <dataValidation type="decimal" operator="greaterThanOrEqual" allowBlank="1" showInputMessage="1" showErrorMessage="1" error="Should be a number &gt;=0" sqref="F72 P72 L72 J72 H72 N72">
      <formula1>0</formula1>
    </dataValidation>
    <dataValidation type="whole" operator="greaterThanOrEqual" allowBlank="1" showInputMessage="1" showErrorMessage="1" error="Should be a whole number &gt;=0" sqref="F68:F71 P73 P68:P71 J73 H73 N73 F73 N68:N71 L73 J68:J71 H68:H71 L68:L71">
      <formula1>0</formula1>
    </dataValidation>
    <dataValidation type="list" allowBlank="1" showInputMessage="1" showErrorMessage="1" sqref="F66 P66 L66 N66 J66 H66">
      <formula1>"No, Yes (narrow), Yes (wide)"</formula1>
    </dataValidation>
    <dataValidation type="whole" operator="greaterThan" allowBlank="1" showInputMessage="1" showErrorMessage="1" error="Value should be whole number greater than 0" sqref="F23">
      <formula1>0</formula1>
    </dataValidation>
    <dataValidation type="list" allowBlank="1" showInputMessage="1" showErrorMessage="1" sqref="F24">
      <formula1>cities</formula1>
    </dataValidation>
    <dataValidation type="whole" operator="greaterThanOrEqual" allowBlank="1" showInputMessage="1" showErrorMessage="1" error="Value should be whole number greater or equal to 0" sqref="F27:F28">
      <formula1>0</formula1>
    </dataValidation>
    <dataValidation type="whole" operator="greaterThanOrEqual" allowBlank="1" showInputMessage="1" showErrorMessage="1" error="Value should be whole number &gt;=1" sqref="F29">
      <formula1>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tabColor rgb="FFFFFF00"/>
  </sheetPr>
  <dimension ref="A1:BO130"/>
  <sheetViews>
    <sheetView zoomScale="70" zoomScaleNormal="70" workbookViewId="0"/>
  </sheetViews>
  <sheetFormatPr defaultColWidth="0" defaultRowHeight="15" zeroHeight="1"/>
  <cols>
    <col min="1" max="1" width="3.85546875" style="28" customWidth="1"/>
    <col min="2" max="2" width="2.42578125" style="28" customWidth="1"/>
    <col min="3" max="3" width="3.28515625" style="28" customWidth="1"/>
    <col min="4" max="4" width="10.5703125" style="28" customWidth="1"/>
    <col min="5" max="5" width="30.5703125" style="28" customWidth="1"/>
    <col min="6" max="6" width="4.85546875" style="28" customWidth="1"/>
    <col min="7" max="12" width="27" style="28" customWidth="1"/>
    <col min="13" max="13" width="1.7109375" style="28" customWidth="1"/>
    <col min="14" max="16" width="16.28515625" style="28" customWidth="1"/>
    <col min="17" max="17" width="18.42578125" style="28" customWidth="1"/>
    <col min="18" max="19" width="16.28515625" style="28" customWidth="1"/>
    <col min="20" max="20" width="1.7109375" style="28" customWidth="1"/>
    <col min="21" max="23" width="16.28515625" style="28" customWidth="1"/>
    <col min="24" max="24" width="18.42578125" style="28" customWidth="1"/>
    <col min="25" max="26" width="16.28515625" style="28" customWidth="1"/>
    <col min="27" max="27" width="1.7109375" style="28" customWidth="1"/>
    <col min="28" max="30" width="16.28515625" style="28" customWidth="1"/>
    <col min="31" max="31" width="18.42578125" style="28" customWidth="1"/>
    <col min="32" max="33" width="16.28515625" style="28" customWidth="1"/>
    <col min="34" max="34" width="1.7109375" style="28" customWidth="1"/>
    <col min="35" max="37" width="16.28515625" style="28" customWidth="1"/>
    <col min="38" max="38" width="18.42578125" style="28" customWidth="1"/>
    <col min="39" max="40" width="16.28515625" style="28" customWidth="1"/>
    <col min="41" max="41" width="1.7109375" style="28" customWidth="1"/>
    <col min="42" max="44" width="16.28515625" style="28" customWidth="1"/>
    <col min="45" max="45" width="18.42578125" style="28" customWidth="1"/>
    <col min="46" max="47" width="16.28515625" style="28" customWidth="1"/>
    <col min="48" max="48" width="2.5703125" style="28" customWidth="1"/>
    <col min="49" max="49" width="3.7109375" style="28" customWidth="1"/>
    <col min="50" max="67" width="0" style="28" hidden="1" customWidth="1"/>
    <col min="68" max="16384" width="8.85546875" style="28" hidden="1"/>
  </cols>
  <sheetData>
    <row r="1" spans="1:52" ht="15" customHeight="1" thickBot="1">
      <c r="AW1" s="29"/>
      <c r="AX1" s="29"/>
      <c r="AY1" s="29"/>
      <c r="AZ1" s="29"/>
    </row>
    <row r="2" spans="1:52" ht="20.100000000000001" customHeight="1" thickBot="1">
      <c r="A2" s="29"/>
      <c r="B2" s="121" t="s">
        <v>192</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3"/>
      <c r="AW2" s="29"/>
      <c r="AX2" s="29"/>
      <c r="AY2" s="29"/>
      <c r="AZ2" s="29"/>
    </row>
    <row r="3" spans="1:52" ht="9.9499999999999993" customHeight="1">
      <c r="A3" s="29"/>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4"/>
      <c r="AW3" s="29"/>
      <c r="AX3" s="29"/>
      <c r="AY3" s="29"/>
      <c r="AZ3" s="29"/>
    </row>
    <row r="4" spans="1:52" ht="15" customHeight="1">
      <c r="A4" s="29"/>
      <c r="B4" s="42"/>
      <c r="C4" s="98" t="s">
        <v>4</v>
      </c>
      <c r="D4" s="99"/>
      <c r="E4" s="99"/>
      <c r="F4" s="99"/>
      <c r="G4" s="99"/>
      <c r="H4" s="99"/>
      <c r="I4" s="99"/>
      <c r="J4" s="99"/>
      <c r="K4" s="99"/>
      <c r="L4" s="99"/>
      <c r="M4" s="100"/>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44"/>
      <c r="AW4" s="29"/>
      <c r="AX4" s="29"/>
      <c r="AY4" s="29"/>
      <c r="AZ4" s="29"/>
    </row>
    <row r="5" spans="1:52" ht="15" customHeight="1">
      <c r="B5" s="30"/>
      <c r="C5" s="142" t="s">
        <v>79</v>
      </c>
      <c r="D5" s="63" t="s">
        <v>615</v>
      </c>
      <c r="E5" s="27"/>
      <c r="F5" s="27"/>
      <c r="G5" s="27"/>
      <c r="H5" s="27"/>
      <c r="I5" s="27"/>
      <c r="J5" s="27"/>
      <c r="K5" s="27"/>
      <c r="L5" s="27"/>
      <c r="M5" s="5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31"/>
      <c r="AW5" s="29"/>
      <c r="AX5" s="29"/>
      <c r="AY5" s="29"/>
      <c r="AZ5" s="29"/>
    </row>
    <row r="6" spans="1:52" ht="15" customHeight="1">
      <c r="B6" s="30"/>
      <c r="C6" s="142" t="s">
        <v>79</v>
      </c>
      <c r="D6" s="63" t="s">
        <v>493</v>
      </c>
      <c r="E6" s="27"/>
      <c r="F6" s="27"/>
      <c r="G6" s="27"/>
      <c r="H6" s="27"/>
      <c r="I6" s="27"/>
      <c r="J6" s="27"/>
      <c r="K6" s="27"/>
      <c r="L6" s="27"/>
      <c r="M6" s="5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31"/>
      <c r="AW6" s="29"/>
      <c r="AX6" s="29"/>
      <c r="AY6" s="29"/>
      <c r="AZ6" s="29"/>
    </row>
    <row r="7" spans="1:52" ht="15" customHeight="1">
      <c r="B7" s="30"/>
      <c r="C7" s="142" t="s">
        <v>79</v>
      </c>
      <c r="D7" s="1005" t="s">
        <v>616</v>
      </c>
      <c r="E7" s="1005"/>
      <c r="F7" s="1005"/>
      <c r="G7" s="1005"/>
      <c r="H7" s="1005"/>
      <c r="I7" s="1005"/>
      <c r="J7" s="1005"/>
      <c r="K7" s="1005"/>
      <c r="L7" s="1005"/>
      <c r="M7" s="5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31"/>
      <c r="AW7" s="29"/>
      <c r="AX7" s="29"/>
      <c r="AY7" s="29"/>
      <c r="AZ7" s="29"/>
    </row>
    <row r="8" spans="1:52" ht="15" customHeight="1">
      <c r="B8" s="30"/>
      <c r="C8" s="142"/>
      <c r="D8" s="1005"/>
      <c r="E8" s="1005"/>
      <c r="F8" s="1005"/>
      <c r="G8" s="1005"/>
      <c r="H8" s="1005"/>
      <c r="I8" s="1005"/>
      <c r="J8" s="1005"/>
      <c r="K8" s="1005"/>
      <c r="L8" s="1005"/>
      <c r="M8" s="5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31"/>
      <c r="AW8" s="29"/>
      <c r="AX8" s="29"/>
      <c r="AY8" s="29"/>
      <c r="AZ8" s="29"/>
    </row>
    <row r="9" spans="1:52" ht="15" customHeight="1">
      <c r="B9" s="32"/>
      <c r="C9" s="142" t="s">
        <v>79</v>
      </c>
      <c r="D9" s="63" t="s">
        <v>620</v>
      </c>
      <c r="E9" s="27"/>
      <c r="F9" s="27"/>
      <c r="G9" s="27"/>
      <c r="H9" s="27"/>
      <c r="I9" s="27"/>
      <c r="J9" s="27"/>
      <c r="K9" s="27"/>
      <c r="L9" s="27"/>
      <c r="M9" s="5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31"/>
      <c r="AW9" s="29"/>
      <c r="AX9" s="29"/>
      <c r="AY9" s="29"/>
      <c r="AZ9" s="29"/>
    </row>
    <row r="10" spans="1:52" ht="15" customHeight="1">
      <c r="B10" s="32"/>
      <c r="C10" s="142" t="s">
        <v>79</v>
      </c>
      <c r="D10" s="63" t="s">
        <v>625</v>
      </c>
      <c r="E10" s="27"/>
      <c r="F10" s="27"/>
      <c r="G10" s="27"/>
      <c r="H10" s="27"/>
      <c r="I10" s="27"/>
      <c r="J10" s="27"/>
      <c r="K10" s="27"/>
      <c r="L10" s="27"/>
      <c r="M10" s="5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31"/>
      <c r="AW10" s="29"/>
      <c r="AX10" s="29"/>
      <c r="AY10" s="29"/>
      <c r="AZ10" s="29"/>
    </row>
    <row r="11" spans="1:52" ht="15" customHeight="1">
      <c r="B11" s="32"/>
      <c r="C11" s="142"/>
      <c r="D11" s="63" t="s">
        <v>621</v>
      </c>
      <c r="E11" s="27"/>
      <c r="F11" s="27"/>
      <c r="G11" s="27"/>
      <c r="H11" s="27"/>
      <c r="I11" s="27"/>
      <c r="J11" s="27"/>
      <c r="K11" s="27"/>
      <c r="L11" s="27"/>
      <c r="M11" s="5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31"/>
      <c r="AW11" s="29"/>
      <c r="AX11" s="29"/>
      <c r="AY11" s="29"/>
      <c r="AZ11" s="29"/>
    </row>
    <row r="12" spans="1:52" ht="15" customHeight="1">
      <c r="B12" s="30"/>
      <c r="C12" s="142" t="s">
        <v>79</v>
      </c>
      <c r="D12" s="771" t="s">
        <v>607</v>
      </c>
      <c r="E12" s="741"/>
      <c r="F12" s="741"/>
      <c r="G12" s="741"/>
      <c r="H12" s="741"/>
      <c r="I12" s="741"/>
      <c r="J12" s="741"/>
      <c r="K12" s="741"/>
      <c r="L12" s="741"/>
      <c r="M12" s="742"/>
      <c r="N12" s="741"/>
      <c r="O12" s="741"/>
      <c r="P12" s="741"/>
      <c r="Q12" s="741"/>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31"/>
    </row>
    <row r="13" spans="1:52" ht="15" customHeight="1">
      <c r="B13" s="30"/>
      <c r="C13" s="142" t="s">
        <v>79</v>
      </c>
      <c r="D13" s="63" t="s">
        <v>533</v>
      </c>
      <c r="E13" s="741"/>
      <c r="F13" s="741"/>
      <c r="G13" s="741"/>
      <c r="H13" s="741"/>
      <c r="I13" s="741"/>
      <c r="J13" s="741"/>
      <c r="K13" s="741"/>
      <c r="L13" s="741"/>
      <c r="M13" s="742"/>
      <c r="N13" s="741"/>
      <c r="O13" s="741"/>
      <c r="P13" s="741"/>
      <c r="Q13" s="741"/>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31"/>
    </row>
    <row r="14" spans="1:52" ht="15" customHeight="1">
      <c r="B14" s="32"/>
      <c r="C14" s="56"/>
      <c r="D14" s="27"/>
      <c r="E14" s="27"/>
      <c r="F14" s="27"/>
      <c r="G14" s="27"/>
      <c r="H14" s="27"/>
      <c r="I14" s="27"/>
      <c r="J14" s="27"/>
      <c r="K14" s="27"/>
      <c r="L14" s="27"/>
      <c r="M14" s="5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31"/>
      <c r="AW14" s="29"/>
      <c r="AX14" s="29"/>
      <c r="AY14" s="29"/>
      <c r="AZ14" s="29"/>
    </row>
    <row r="15" spans="1:52" ht="15" customHeight="1">
      <c r="B15" s="32"/>
      <c r="C15" s="58" t="s">
        <v>11</v>
      </c>
      <c r="D15" s="29"/>
      <c r="E15" s="26"/>
      <c r="F15" s="26"/>
      <c r="G15" s="27"/>
      <c r="H15" s="27"/>
      <c r="I15" s="27"/>
      <c r="J15" s="63"/>
      <c r="K15" s="27"/>
      <c r="L15" s="27"/>
      <c r="M15" s="5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31"/>
      <c r="AW15" s="29"/>
      <c r="AX15" s="29"/>
      <c r="AY15" s="29"/>
      <c r="AZ15" s="29"/>
    </row>
    <row r="16" spans="1:52" ht="15" customHeight="1">
      <c r="B16" s="32"/>
      <c r="C16" s="152"/>
      <c r="D16" s="63" t="s">
        <v>588</v>
      </c>
      <c r="E16" s="29"/>
      <c r="F16" s="29"/>
      <c r="G16" s="27"/>
      <c r="H16" s="27"/>
      <c r="I16" s="27"/>
      <c r="J16" s="63"/>
      <c r="K16" s="27"/>
      <c r="L16" s="27"/>
      <c r="M16" s="5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31"/>
      <c r="AW16" s="29"/>
      <c r="AX16" s="29"/>
      <c r="AY16" s="29"/>
      <c r="AZ16" s="29"/>
    </row>
    <row r="17" spans="2:52" ht="15" customHeight="1">
      <c r="B17" s="32"/>
      <c r="C17" s="166"/>
      <c r="D17" s="63" t="s">
        <v>82</v>
      </c>
      <c r="E17" s="29"/>
      <c r="F17" s="29"/>
      <c r="G17" s="27"/>
      <c r="H17" s="27"/>
      <c r="I17" s="27"/>
      <c r="J17" s="27"/>
      <c r="K17" s="27"/>
      <c r="L17" s="27"/>
      <c r="M17" s="5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31"/>
      <c r="AW17" s="29"/>
      <c r="AX17" s="29"/>
      <c r="AY17" s="29"/>
      <c r="AZ17" s="29"/>
    </row>
    <row r="18" spans="2:52" ht="15" customHeight="1">
      <c r="B18" s="32"/>
      <c r="C18" s="153" t="s">
        <v>33</v>
      </c>
      <c r="D18" s="781" t="s">
        <v>610</v>
      </c>
      <c r="E18" s="59"/>
      <c r="F18" s="59"/>
      <c r="G18" s="60"/>
      <c r="H18" s="60"/>
      <c r="I18" s="60"/>
      <c r="J18" s="60"/>
      <c r="K18" s="60"/>
      <c r="L18" s="60"/>
      <c r="M18" s="61"/>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31"/>
      <c r="AW18" s="29"/>
      <c r="AX18" s="29"/>
      <c r="AY18" s="29"/>
      <c r="AZ18" s="29"/>
    </row>
    <row r="19" spans="2:52" ht="15" customHeight="1">
      <c r="B19" s="24"/>
      <c r="C19" s="29"/>
      <c r="D19" s="29"/>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20"/>
      <c r="AW19" s="29"/>
      <c r="AX19" s="29"/>
      <c r="AY19" s="29"/>
      <c r="AZ19" s="29"/>
    </row>
    <row r="20" spans="2:52" ht="15" customHeight="1">
      <c r="B20" s="33"/>
      <c r="C20" s="29"/>
      <c r="D20" s="47"/>
      <c r="E20" s="97"/>
      <c r="F20" s="97"/>
      <c r="G20" s="1021" t="s">
        <v>86</v>
      </c>
      <c r="H20" s="1021"/>
      <c r="I20" s="1021"/>
      <c r="J20" s="1021"/>
      <c r="K20" s="1021"/>
      <c r="L20" s="1021"/>
      <c r="M20" s="748"/>
      <c r="N20" s="1021" t="s">
        <v>5</v>
      </c>
      <c r="O20" s="1021"/>
      <c r="P20" s="1021"/>
      <c r="Q20" s="1021"/>
      <c r="R20" s="1021"/>
      <c r="S20" s="1021"/>
      <c r="T20" s="29"/>
      <c r="U20" s="1021" t="s">
        <v>6</v>
      </c>
      <c r="V20" s="1021"/>
      <c r="W20" s="1021"/>
      <c r="X20" s="1021"/>
      <c r="Y20" s="1021"/>
      <c r="Z20" s="1021"/>
      <c r="AA20" s="29"/>
      <c r="AB20" s="1021" t="s">
        <v>7</v>
      </c>
      <c r="AC20" s="1021"/>
      <c r="AD20" s="1021"/>
      <c r="AE20" s="1021"/>
      <c r="AF20" s="1021"/>
      <c r="AG20" s="1021"/>
      <c r="AH20" s="29"/>
      <c r="AI20" s="1021" t="s">
        <v>8</v>
      </c>
      <c r="AJ20" s="1021"/>
      <c r="AK20" s="1021"/>
      <c r="AL20" s="1021"/>
      <c r="AM20" s="1021"/>
      <c r="AN20" s="1021"/>
      <c r="AO20" s="29"/>
      <c r="AP20" s="1021" t="s">
        <v>9</v>
      </c>
      <c r="AQ20" s="1021"/>
      <c r="AR20" s="1021"/>
      <c r="AS20" s="1021"/>
      <c r="AT20" s="1021"/>
      <c r="AU20" s="1021"/>
      <c r="AV20" s="31"/>
      <c r="AW20" s="29"/>
      <c r="AX20" s="29"/>
      <c r="AY20" s="29"/>
      <c r="AZ20" s="29"/>
    </row>
    <row r="21" spans="2:52" ht="15" customHeight="1">
      <c r="B21" s="33"/>
      <c r="C21" s="40" t="s">
        <v>589</v>
      </c>
      <c r="D21" s="47"/>
      <c r="E21" s="97"/>
      <c r="F21" s="97"/>
      <c r="G21" s="1019" t="str">
        <f>IF(code0="","",code0)</f>
        <v/>
      </c>
      <c r="H21" s="1019"/>
      <c r="I21" s="1019"/>
      <c r="J21" s="1019"/>
      <c r="K21" s="1019"/>
      <c r="L21" s="1019"/>
      <c r="M21" s="748"/>
      <c r="N21" s="1019" t="str">
        <f>IF(code1="","",code1)</f>
        <v/>
      </c>
      <c r="O21" s="1019"/>
      <c r="P21" s="1019"/>
      <c r="Q21" s="1019"/>
      <c r="R21" s="1019"/>
      <c r="S21" s="1019"/>
      <c r="T21" s="29"/>
      <c r="U21" s="1019" t="str">
        <f>IF(code2="","",code2)</f>
        <v/>
      </c>
      <c r="V21" s="1019"/>
      <c r="W21" s="1019"/>
      <c r="X21" s="1019"/>
      <c r="Y21" s="1019"/>
      <c r="Z21" s="1019"/>
      <c r="AA21" s="29"/>
      <c r="AB21" s="1019" t="str">
        <f>IF(code3="","",code3)</f>
        <v/>
      </c>
      <c r="AC21" s="1019"/>
      <c r="AD21" s="1019"/>
      <c r="AE21" s="1019"/>
      <c r="AF21" s="1019"/>
      <c r="AG21" s="1019"/>
      <c r="AH21" s="29"/>
      <c r="AI21" s="1019" t="str">
        <f>IF(code4="","",code4)</f>
        <v/>
      </c>
      <c r="AJ21" s="1019"/>
      <c r="AK21" s="1019"/>
      <c r="AL21" s="1019"/>
      <c r="AM21" s="1019"/>
      <c r="AN21" s="1019"/>
      <c r="AO21" s="29"/>
      <c r="AP21" s="1019" t="str">
        <f>IF(code5="","",code5)</f>
        <v/>
      </c>
      <c r="AQ21" s="1019"/>
      <c r="AR21" s="1019"/>
      <c r="AS21" s="1019"/>
      <c r="AT21" s="1019"/>
      <c r="AU21" s="1019"/>
      <c r="AV21" s="31"/>
      <c r="AW21" s="29"/>
      <c r="AX21" s="29"/>
      <c r="AY21" s="29"/>
      <c r="AZ21" s="29"/>
    </row>
    <row r="22" spans="2:52" ht="15" customHeight="1">
      <c r="B22" s="33"/>
      <c r="C22" s="40" t="s">
        <v>209</v>
      </c>
      <c r="D22" s="47"/>
      <c r="E22" s="97"/>
      <c r="F22" s="97"/>
      <c r="G22" s="1019" t="str">
        <f>IF(code0="","",IF(name0="","noname",name0))</f>
        <v/>
      </c>
      <c r="H22" s="1019"/>
      <c r="I22" s="1019"/>
      <c r="J22" s="1019"/>
      <c r="K22" s="1019"/>
      <c r="L22" s="1019"/>
      <c r="M22" s="748"/>
      <c r="N22" s="1019" t="str">
        <f>IF(code1="","",IF(name1="","noname",name1))</f>
        <v/>
      </c>
      <c r="O22" s="1019"/>
      <c r="P22" s="1019"/>
      <c r="Q22" s="1019"/>
      <c r="R22" s="1019"/>
      <c r="S22" s="1019"/>
      <c r="T22" s="29"/>
      <c r="U22" s="1019" t="str">
        <f>IF(code2="","",IF(name2="","noname",name2))</f>
        <v/>
      </c>
      <c r="V22" s="1019"/>
      <c r="W22" s="1019"/>
      <c r="X22" s="1019"/>
      <c r="Y22" s="1019"/>
      <c r="Z22" s="1019"/>
      <c r="AA22" s="29"/>
      <c r="AB22" s="1019" t="str">
        <f>IF(code3="","",IF(name3="","noname",name3))</f>
        <v/>
      </c>
      <c r="AC22" s="1019"/>
      <c r="AD22" s="1019"/>
      <c r="AE22" s="1019"/>
      <c r="AF22" s="1019"/>
      <c r="AG22" s="1019"/>
      <c r="AH22" s="29"/>
      <c r="AI22" s="1019" t="str">
        <f>IF(code4="","",IF(name4="","noname",name4))</f>
        <v/>
      </c>
      <c r="AJ22" s="1019"/>
      <c r="AK22" s="1019"/>
      <c r="AL22" s="1019"/>
      <c r="AM22" s="1019"/>
      <c r="AN22" s="1019"/>
      <c r="AO22" s="29"/>
      <c r="AP22" s="1019" t="str">
        <f>IF(code5="","",IF(name5="","noname",name5))</f>
        <v/>
      </c>
      <c r="AQ22" s="1019"/>
      <c r="AR22" s="1019"/>
      <c r="AS22" s="1019"/>
      <c r="AT22" s="1019"/>
      <c r="AU22" s="1019"/>
      <c r="AV22" s="31"/>
      <c r="AW22" s="29"/>
      <c r="AX22" s="29"/>
      <c r="AY22" s="29"/>
      <c r="AZ22" s="29"/>
    </row>
    <row r="23" spans="2:52" s="155" customFormat="1" ht="15.75">
      <c r="B23" s="784"/>
      <c r="C23" s="156"/>
      <c r="D23" s="157"/>
      <c r="E23" s="158"/>
      <c r="F23" s="158"/>
      <c r="G23" s="395" t="s">
        <v>15</v>
      </c>
      <c r="H23" s="305" t="s">
        <v>297</v>
      </c>
      <c r="I23" s="305" t="s">
        <v>296</v>
      </c>
      <c r="J23" s="305" t="s">
        <v>19</v>
      </c>
      <c r="K23" s="395" t="s">
        <v>16</v>
      </c>
      <c r="L23" s="395" t="s">
        <v>18</v>
      </c>
      <c r="M23" s="159"/>
      <c r="N23" s="395" t="s">
        <v>15</v>
      </c>
      <c r="O23" s="305" t="s">
        <v>297</v>
      </c>
      <c r="P23" s="305" t="s">
        <v>296</v>
      </c>
      <c r="Q23" s="305" t="s">
        <v>19</v>
      </c>
      <c r="R23" s="395" t="s">
        <v>16</v>
      </c>
      <c r="S23" s="395" t="s">
        <v>18</v>
      </c>
      <c r="T23" s="156"/>
      <c r="U23" s="395" t="s">
        <v>15</v>
      </c>
      <c r="V23" s="305" t="s">
        <v>297</v>
      </c>
      <c r="W23" s="305" t="s">
        <v>296</v>
      </c>
      <c r="X23" s="305" t="s">
        <v>19</v>
      </c>
      <c r="Y23" s="395" t="s">
        <v>16</v>
      </c>
      <c r="Z23" s="395" t="s">
        <v>18</v>
      </c>
      <c r="AA23" s="156"/>
      <c r="AB23" s="395" t="s">
        <v>15</v>
      </c>
      <c r="AC23" s="305" t="s">
        <v>297</v>
      </c>
      <c r="AD23" s="305" t="s">
        <v>296</v>
      </c>
      <c r="AE23" s="305" t="s">
        <v>19</v>
      </c>
      <c r="AF23" s="395" t="s">
        <v>16</v>
      </c>
      <c r="AG23" s="395" t="s">
        <v>18</v>
      </c>
      <c r="AH23" s="156"/>
      <c r="AI23" s="395" t="s">
        <v>15</v>
      </c>
      <c r="AJ23" s="305" t="s">
        <v>297</v>
      </c>
      <c r="AK23" s="305" t="s">
        <v>296</v>
      </c>
      <c r="AL23" s="305" t="s">
        <v>19</v>
      </c>
      <c r="AM23" s="395" t="s">
        <v>16</v>
      </c>
      <c r="AN23" s="395" t="s">
        <v>18</v>
      </c>
      <c r="AO23" s="156"/>
      <c r="AP23" s="395" t="s">
        <v>15</v>
      </c>
      <c r="AQ23" s="305" t="s">
        <v>297</v>
      </c>
      <c r="AR23" s="305" t="s">
        <v>296</v>
      </c>
      <c r="AS23" s="305" t="s">
        <v>19</v>
      </c>
      <c r="AT23" s="395" t="s">
        <v>16</v>
      </c>
      <c r="AU23" s="395" t="s">
        <v>18</v>
      </c>
      <c r="AV23" s="785"/>
      <c r="AW23" s="156"/>
      <c r="AX23" s="156"/>
      <c r="AY23" s="156"/>
      <c r="AZ23" s="156"/>
    </row>
    <row r="24" spans="2:52" s="148" customFormat="1" ht="45" customHeight="1">
      <c r="B24" s="786"/>
      <c r="C24" s="1020" t="s">
        <v>622</v>
      </c>
      <c r="D24" s="1020"/>
      <c r="E24" s="1020"/>
      <c r="F24" s="744"/>
      <c r="G24" s="559"/>
      <c r="H24" s="559"/>
      <c r="I24" s="559"/>
      <c r="J24" s="559"/>
      <c r="K24" s="559"/>
      <c r="L24" s="559"/>
      <c r="M24" s="151"/>
      <c r="N24" s="743" t="str">
        <f t="shared" ref="N24:S24" si="0">IF(code1="","",G24)</f>
        <v/>
      </c>
      <c r="O24" s="743" t="str">
        <f t="shared" si="0"/>
        <v/>
      </c>
      <c r="P24" s="743" t="str">
        <f t="shared" si="0"/>
        <v/>
      </c>
      <c r="Q24" s="743" t="str">
        <f t="shared" si="0"/>
        <v/>
      </c>
      <c r="R24" s="743" t="str">
        <f t="shared" si="0"/>
        <v/>
      </c>
      <c r="S24" s="743" t="str">
        <f t="shared" si="0"/>
        <v/>
      </c>
      <c r="T24" s="45"/>
      <c r="U24" s="743" t="str">
        <f t="shared" ref="U24:Z24" si="1">IF(code2="","",N24)</f>
        <v/>
      </c>
      <c r="V24" s="743" t="str">
        <f t="shared" si="1"/>
        <v/>
      </c>
      <c r="W24" s="743" t="str">
        <f t="shared" si="1"/>
        <v/>
      </c>
      <c r="X24" s="743" t="str">
        <f t="shared" si="1"/>
        <v/>
      </c>
      <c r="Y24" s="743" t="str">
        <f t="shared" si="1"/>
        <v/>
      </c>
      <c r="Z24" s="743" t="str">
        <f t="shared" si="1"/>
        <v/>
      </c>
      <c r="AA24" s="45"/>
      <c r="AB24" s="743" t="str">
        <f t="shared" ref="AB24:AG24" si="2">IF(code3="","",U24)</f>
        <v/>
      </c>
      <c r="AC24" s="743" t="str">
        <f t="shared" si="2"/>
        <v/>
      </c>
      <c r="AD24" s="743" t="str">
        <f t="shared" si="2"/>
        <v/>
      </c>
      <c r="AE24" s="743" t="str">
        <f t="shared" si="2"/>
        <v/>
      </c>
      <c r="AF24" s="743" t="str">
        <f t="shared" si="2"/>
        <v/>
      </c>
      <c r="AG24" s="743" t="str">
        <f t="shared" si="2"/>
        <v/>
      </c>
      <c r="AH24" s="45"/>
      <c r="AI24" s="743" t="str">
        <f t="shared" ref="AI24:AN24" si="3">IF(code4="","",AB24)</f>
        <v/>
      </c>
      <c r="AJ24" s="743" t="str">
        <f t="shared" si="3"/>
        <v/>
      </c>
      <c r="AK24" s="743" t="str">
        <f t="shared" si="3"/>
        <v/>
      </c>
      <c r="AL24" s="743" t="str">
        <f t="shared" si="3"/>
        <v/>
      </c>
      <c r="AM24" s="743" t="str">
        <f t="shared" si="3"/>
        <v/>
      </c>
      <c r="AN24" s="743" t="str">
        <f t="shared" si="3"/>
        <v/>
      </c>
      <c r="AO24" s="45"/>
      <c r="AP24" s="743" t="str">
        <f t="shared" ref="AP24:AU24" si="4">IF(code5="","",AI24)</f>
        <v/>
      </c>
      <c r="AQ24" s="743" t="str">
        <f t="shared" si="4"/>
        <v/>
      </c>
      <c r="AR24" s="743" t="str">
        <f t="shared" si="4"/>
        <v/>
      </c>
      <c r="AS24" s="743" t="str">
        <f t="shared" si="4"/>
        <v/>
      </c>
      <c r="AT24" s="743" t="str">
        <f t="shared" si="4"/>
        <v/>
      </c>
      <c r="AU24" s="743" t="str">
        <f t="shared" si="4"/>
        <v/>
      </c>
      <c r="AV24" s="787"/>
      <c r="AW24" s="45"/>
      <c r="AX24" s="45"/>
      <c r="AY24" s="45"/>
      <c r="AZ24" s="45"/>
    </row>
    <row r="25" spans="2:52" ht="30" customHeight="1">
      <c r="B25" s="786"/>
      <c r="C25" s="1005" t="s">
        <v>623</v>
      </c>
      <c r="D25" s="1005"/>
      <c r="E25" s="1005"/>
      <c r="F25" s="372" t="s">
        <v>199</v>
      </c>
      <c r="G25" s="111"/>
      <c r="H25" s="783"/>
      <c r="I25" s="783"/>
      <c r="J25" s="783"/>
      <c r="K25" s="783"/>
      <c r="L25" s="783"/>
      <c r="M25" s="27"/>
      <c r="N25" s="678" t="str">
        <f t="shared" ref="N25:AU25" si="5">IF(G25="","",G25)</f>
        <v/>
      </c>
      <c r="O25" s="678" t="str">
        <f t="shared" si="5"/>
        <v/>
      </c>
      <c r="P25" s="678" t="str">
        <f t="shared" si="5"/>
        <v/>
      </c>
      <c r="Q25" s="678" t="str">
        <f t="shared" si="5"/>
        <v/>
      </c>
      <c r="R25" s="678" t="str">
        <f t="shared" si="5"/>
        <v/>
      </c>
      <c r="S25" s="678" t="str">
        <f t="shared" si="5"/>
        <v/>
      </c>
      <c r="T25" s="29"/>
      <c r="U25" s="678" t="str">
        <f t="shared" si="5"/>
        <v/>
      </c>
      <c r="V25" s="678" t="str">
        <f t="shared" si="5"/>
        <v/>
      </c>
      <c r="W25" s="678" t="str">
        <f t="shared" si="5"/>
        <v/>
      </c>
      <c r="X25" s="678" t="str">
        <f t="shared" si="5"/>
        <v/>
      </c>
      <c r="Y25" s="678" t="str">
        <f t="shared" si="5"/>
        <v/>
      </c>
      <c r="Z25" s="678" t="str">
        <f t="shared" si="5"/>
        <v/>
      </c>
      <c r="AA25" s="29"/>
      <c r="AB25" s="678" t="str">
        <f t="shared" si="5"/>
        <v/>
      </c>
      <c r="AC25" s="678" t="str">
        <f t="shared" si="5"/>
        <v/>
      </c>
      <c r="AD25" s="678" t="str">
        <f t="shared" si="5"/>
        <v/>
      </c>
      <c r="AE25" s="678" t="str">
        <f t="shared" si="5"/>
        <v/>
      </c>
      <c r="AF25" s="678" t="str">
        <f t="shared" si="5"/>
        <v/>
      </c>
      <c r="AG25" s="678" t="str">
        <f t="shared" si="5"/>
        <v/>
      </c>
      <c r="AH25" s="29"/>
      <c r="AI25" s="678" t="str">
        <f t="shared" si="5"/>
        <v/>
      </c>
      <c r="AJ25" s="678" t="str">
        <f t="shared" si="5"/>
        <v/>
      </c>
      <c r="AK25" s="678" t="str">
        <f t="shared" si="5"/>
        <v/>
      </c>
      <c r="AL25" s="678" t="str">
        <f t="shared" si="5"/>
        <v/>
      </c>
      <c r="AM25" s="678" t="str">
        <f t="shared" si="5"/>
        <v/>
      </c>
      <c r="AN25" s="678" t="str">
        <f t="shared" si="5"/>
        <v/>
      </c>
      <c r="AO25" s="29"/>
      <c r="AP25" s="678" t="str">
        <f t="shared" si="5"/>
        <v/>
      </c>
      <c r="AQ25" s="678" t="str">
        <f t="shared" si="5"/>
        <v/>
      </c>
      <c r="AR25" s="678" t="str">
        <f t="shared" si="5"/>
        <v/>
      </c>
      <c r="AS25" s="678" t="str">
        <f t="shared" si="5"/>
        <v/>
      </c>
      <c r="AT25" s="678" t="str">
        <f t="shared" si="5"/>
        <v/>
      </c>
      <c r="AU25" s="678" t="str">
        <f t="shared" si="5"/>
        <v/>
      </c>
      <c r="AV25" s="31"/>
      <c r="AW25" s="29"/>
      <c r="AX25" s="29"/>
      <c r="AY25" s="29"/>
      <c r="AZ25" s="29"/>
    </row>
    <row r="26" spans="2:52" ht="45" customHeight="1">
      <c r="B26" s="33"/>
      <c r="C26" s="773" t="s">
        <v>699</v>
      </c>
      <c r="D26" s="47"/>
      <c r="E26" s="27"/>
      <c r="F26" s="27"/>
      <c r="G26" s="782" t="str">
        <f>IF(G25="","",IF(G24&lt;&gt;"Other","! You chose an indicator and filled in another one. Only the latter will be considered. Make sure higher values mean better conditions","! Make sure higher values mean better conditions"))</f>
        <v/>
      </c>
      <c r="H26" s="782" t="str">
        <f>IF(H25="","",IF(H24&lt;&gt;"Other","! You chose an indicator and filled in another one. Only the latter will be considered. Make sure higher values mean better conditions","! Make sure higher values mean better conditions"))</f>
        <v/>
      </c>
      <c r="I26" s="782" t="str">
        <f>IF(I25="","",IF(I24&lt;&gt;"Other","! You chose an indicator and filled in another one. Only the latter will be considered. Make sure higher values mean worse conditions","! Make sure higher values mean worse conditions"))</f>
        <v/>
      </c>
      <c r="J26" s="782" t="str">
        <f>IF(J25="","",IF(J24&lt;&gt;"Other","! You chose an indicator and filled in another one. Only the latter will be considered. Make sure higher values mean worse conditions","! Make sure higher values mean worse conditions"))</f>
        <v/>
      </c>
      <c r="K26" s="782" t="str">
        <f>IF(K25="","",IF(K24&lt;&gt;"Other","! You chose an indicator and filled in another one. Only the latter will be considered. Make sure higher values mean worse conditions","! Make sure higher values mean worse conditions"))</f>
        <v/>
      </c>
      <c r="L26" s="782" t="str">
        <f>IF(L25="","",IF(L24&lt;&gt;"Other","! You chose an indicator and filled in another one. Only the latter will be considered. Make sure higher values mean worse conditions","! Make sure higher values mean worse conditions"))</f>
        <v/>
      </c>
      <c r="M26" s="27"/>
      <c r="N26" s="27"/>
      <c r="O26" s="27"/>
      <c r="P26" s="27"/>
      <c r="Q26" s="27"/>
      <c r="R26" s="27"/>
      <c r="S26" s="27"/>
      <c r="T26" s="29"/>
      <c r="U26" s="27"/>
      <c r="V26" s="27"/>
      <c r="W26" s="27"/>
      <c r="X26" s="27"/>
      <c r="Y26" s="27"/>
      <c r="Z26" s="27"/>
      <c r="AA26" s="29"/>
      <c r="AB26" s="27"/>
      <c r="AC26" s="27"/>
      <c r="AD26" s="27"/>
      <c r="AE26" s="27"/>
      <c r="AF26" s="27"/>
      <c r="AG26" s="27"/>
      <c r="AH26" s="29"/>
      <c r="AI26" s="27"/>
      <c r="AJ26" s="27"/>
      <c r="AK26" s="27"/>
      <c r="AL26" s="27"/>
      <c r="AM26" s="27"/>
      <c r="AN26" s="27"/>
      <c r="AO26" s="29"/>
      <c r="AP26" s="27"/>
      <c r="AQ26" s="27"/>
      <c r="AR26" s="27"/>
      <c r="AS26" s="27"/>
      <c r="AT26" s="27"/>
      <c r="AU26" s="27"/>
      <c r="AV26" s="31"/>
      <c r="AW26" s="29"/>
      <c r="AX26" s="29"/>
      <c r="AY26" s="29"/>
      <c r="AZ26" s="29"/>
    </row>
    <row r="27" spans="2:52" ht="16.5" customHeight="1">
      <c r="B27" s="34"/>
      <c r="C27" s="49" t="s">
        <v>590</v>
      </c>
      <c r="D27" s="49"/>
      <c r="E27" s="49"/>
      <c r="F27" s="49"/>
      <c r="G27" s="67"/>
      <c r="H27" s="67"/>
      <c r="I27" s="67"/>
      <c r="J27" s="67"/>
      <c r="K27" s="67"/>
      <c r="L27" s="67"/>
      <c r="M27" s="67"/>
      <c r="N27" s="67"/>
      <c r="O27" s="67"/>
      <c r="P27" s="67"/>
      <c r="Q27" s="67"/>
      <c r="R27" s="67"/>
      <c r="S27" s="67"/>
      <c r="T27" s="29"/>
      <c r="U27" s="67"/>
      <c r="V27" s="67"/>
      <c r="W27" s="67"/>
      <c r="X27" s="67"/>
      <c r="Y27" s="67"/>
      <c r="Z27" s="67"/>
      <c r="AA27" s="29"/>
      <c r="AB27" s="67"/>
      <c r="AC27" s="67"/>
      <c r="AD27" s="67"/>
      <c r="AE27" s="67"/>
      <c r="AF27" s="67"/>
      <c r="AG27" s="67"/>
      <c r="AH27" s="29"/>
      <c r="AI27" s="67"/>
      <c r="AJ27" s="67"/>
      <c r="AK27" s="67"/>
      <c r="AL27" s="67"/>
      <c r="AM27" s="67"/>
      <c r="AN27" s="67"/>
      <c r="AO27" s="29"/>
      <c r="AP27" s="67"/>
      <c r="AQ27" s="67"/>
      <c r="AR27" s="67"/>
      <c r="AS27" s="67"/>
      <c r="AT27" s="67"/>
      <c r="AU27" s="67"/>
      <c r="AV27" s="36"/>
      <c r="AW27" s="29"/>
      <c r="AX27" s="29"/>
      <c r="AY27" s="29"/>
      <c r="AZ27" s="29"/>
    </row>
    <row r="28" spans="2:52" ht="15" customHeight="1">
      <c r="B28" s="34"/>
      <c r="C28" s="240" t="s">
        <v>619</v>
      </c>
      <c r="D28" s="49"/>
      <c r="E28" s="49"/>
      <c r="F28" s="49"/>
      <c r="G28" s="67"/>
      <c r="H28" s="67"/>
      <c r="I28" s="67"/>
      <c r="J28" s="67"/>
      <c r="K28" s="67"/>
      <c r="L28" s="67"/>
      <c r="M28" s="67"/>
      <c r="N28" s="67"/>
      <c r="O28" s="67"/>
      <c r="P28" s="67"/>
      <c r="Q28" s="67"/>
      <c r="R28" s="67"/>
      <c r="S28" s="67"/>
      <c r="T28" s="29"/>
      <c r="U28" s="67"/>
      <c r="V28" s="67"/>
      <c r="W28" s="67"/>
      <c r="X28" s="67"/>
      <c r="Y28" s="67"/>
      <c r="Z28" s="67"/>
      <c r="AA28" s="29"/>
      <c r="AB28" s="67"/>
      <c r="AC28" s="67"/>
      <c r="AD28" s="67"/>
      <c r="AE28" s="67"/>
      <c r="AF28" s="67"/>
      <c r="AG28" s="67"/>
      <c r="AH28" s="29"/>
      <c r="AI28" s="67"/>
      <c r="AJ28" s="67"/>
      <c r="AK28" s="67"/>
      <c r="AL28" s="67"/>
      <c r="AM28" s="67"/>
      <c r="AN28" s="67"/>
      <c r="AO28" s="29"/>
      <c r="AP28" s="67"/>
      <c r="AQ28" s="67"/>
      <c r="AR28" s="67"/>
      <c r="AS28" s="67"/>
      <c r="AT28" s="67"/>
      <c r="AU28" s="67"/>
      <c r="AV28" s="36"/>
      <c r="AW28" s="29"/>
      <c r="AX28" s="29"/>
      <c r="AY28" s="29"/>
      <c r="AZ28" s="29"/>
    </row>
    <row r="29" spans="2:52" ht="15" customHeight="1">
      <c r="B29" s="30"/>
      <c r="C29" s="29"/>
      <c r="D29" s="47" t="s">
        <v>14</v>
      </c>
      <c r="E29" s="45"/>
      <c r="F29" s="45"/>
      <c r="G29" s="161"/>
      <c r="H29" s="113"/>
      <c r="I29" s="113"/>
      <c r="J29" s="113"/>
      <c r="K29" s="162"/>
      <c r="L29" s="162"/>
      <c r="M29" s="163"/>
      <c r="N29" s="161"/>
      <c r="O29" s="113"/>
      <c r="P29" s="113"/>
      <c r="Q29" s="113"/>
      <c r="R29" s="162"/>
      <c r="S29" s="162"/>
      <c r="T29" s="29"/>
      <c r="U29" s="161"/>
      <c r="V29" s="113"/>
      <c r="W29" s="113"/>
      <c r="X29" s="113"/>
      <c r="Y29" s="162"/>
      <c r="Z29" s="162"/>
      <c r="AA29" s="29"/>
      <c r="AB29" s="161"/>
      <c r="AC29" s="113"/>
      <c r="AD29" s="113"/>
      <c r="AE29" s="113"/>
      <c r="AF29" s="162"/>
      <c r="AG29" s="162"/>
      <c r="AH29" s="29"/>
      <c r="AI29" s="161"/>
      <c r="AJ29" s="113"/>
      <c r="AK29" s="113"/>
      <c r="AL29" s="113"/>
      <c r="AM29" s="162"/>
      <c r="AN29" s="162"/>
      <c r="AO29" s="29"/>
      <c r="AP29" s="162"/>
      <c r="AQ29" s="162"/>
      <c r="AR29" s="162"/>
      <c r="AS29" s="162"/>
      <c r="AT29" s="162"/>
      <c r="AU29" s="162"/>
      <c r="AV29" s="31"/>
      <c r="AW29" s="29"/>
      <c r="AX29" s="29"/>
      <c r="AY29" s="29"/>
      <c r="AZ29" s="29"/>
    </row>
    <row r="30" spans="2:52" ht="15" customHeight="1">
      <c r="B30" s="30"/>
      <c r="C30" s="29"/>
      <c r="D30" s="47" t="s">
        <v>43</v>
      </c>
      <c r="E30" s="45"/>
      <c r="F30" s="45"/>
      <c r="G30" s="161"/>
      <c r="H30" s="162"/>
      <c r="I30" s="162"/>
      <c r="J30" s="162"/>
      <c r="K30" s="162"/>
      <c r="L30" s="162"/>
      <c r="M30" s="163"/>
      <c r="N30" s="161"/>
      <c r="O30" s="162"/>
      <c r="P30" s="162"/>
      <c r="Q30" s="162"/>
      <c r="R30" s="162"/>
      <c r="S30" s="162"/>
      <c r="T30" s="29"/>
      <c r="U30" s="161"/>
      <c r="V30" s="162"/>
      <c r="W30" s="162"/>
      <c r="X30" s="162"/>
      <c r="Y30" s="162"/>
      <c r="Z30" s="162"/>
      <c r="AA30" s="29"/>
      <c r="AB30" s="161"/>
      <c r="AC30" s="162"/>
      <c r="AD30" s="162"/>
      <c r="AE30" s="162"/>
      <c r="AF30" s="162"/>
      <c r="AG30" s="162"/>
      <c r="AH30" s="29"/>
      <c r="AI30" s="161"/>
      <c r="AJ30" s="162"/>
      <c r="AK30" s="591"/>
      <c r="AL30" s="162"/>
      <c r="AM30" s="162"/>
      <c r="AN30" s="162"/>
      <c r="AO30" s="29"/>
      <c r="AP30" s="162"/>
      <c r="AQ30" s="162"/>
      <c r="AR30" s="162"/>
      <c r="AS30" s="162"/>
      <c r="AT30" s="162"/>
      <c r="AU30" s="162"/>
      <c r="AV30" s="31"/>
      <c r="AW30" s="29"/>
      <c r="AX30" s="29"/>
      <c r="AY30" s="29"/>
      <c r="AZ30" s="29"/>
    </row>
    <row r="31" spans="2:52" ht="15" customHeight="1">
      <c r="B31" s="30"/>
      <c r="C31" s="29"/>
      <c r="D31" s="47" t="s">
        <v>412</v>
      </c>
      <c r="E31" s="45"/>
      <c r="F31" s="45"/>
      <c r="G31" s="161"/>
      <c r="H31" s="113"/>
      <c r="I31" s="113"/>
      <c r="J31" s="113"/>
      <c r="K31" s="113"/>
      <c r="L31" s="113"/>
      <c r="M31" s="211"/>
      <c r="N31" s="161"/>
      <c r="O31" s="113"/>
      <c r="P31" s="113"/>
      <c r="Q31" s="113"/>
      <c r="R31" s="113"/>
      <c r="S31" s="113"/>
      <c r="T31" s="29"/>
      <c r="U31" s="161"/>
      <c r="V31" s="113"/>
      <c r="W31" s="113"/>
      <c r="X31" s="113"/>
      <c r="Y31" s="113"/>
      <c r="Z31" s="113"/>
      <c r="AA31" s="29"/>
      <c r="AB31" s="161"/>
      <c r="AC31" s="113"/>
      <c r="AD31" s="113"/>
      <c r="AE31" s="113"/>
      <c r="AF31" s="113"/>
      <c r="AG31" s="113"/>
      <c r="AH31" s="29"/>
      <c r="AI31" s="161"/>
      <c r="AJ31" s="113"/>
      <c r="AK31" s="113"/>
      <c r="AL31" s="113"/>
      <c r="AM31" s="113"/>
      <c r="AN31" s="113"/>
      <c r="AO31" s="29"/>
      <c r="AP31" s="161"/>
      <c r="AQ31" s="113"/>
      <c r="AR31" s="113"/>
      <c r="AS31" s="113"/>
      <c r="AT31" s="113"/>
      <c r="AU31" s="113"/>
      <c r="AV31" s="31"/>
      <c r="AW31" s="29"/>
      <c r="AX31" s="29"/>
      <c r="AY31" s="29"/>
      <c r="AZ31" s="29"/>
    </row>
    <row r="32" spans="2:52" ht="15" customHeight="1">
      <c r="B32" s="30"/>
      <c r="C32" s="29"/>
      <c r="D32" s="47" t="s">
        <v>85</v>
      </c>
      <c r="E32" s="45"/>
      <c r="F32" s="45"/>
      <c r="G32" s="161"/>
      <c r="H32" s="112"/>
      <c r="I32" s="112"/>
      <c r="J32" s="112"/>
      <c r="K32" s="112"/>
      <c r="L32" s="113"/>
      <c r="M32" s="105"/>
      <c r="N32" s="161"/>
      <c r="O32" s="112"/>
      <c r="P32" s="112"/>
      <c r="Q32" s="112"/>
      <c r="R32" s="112"/>
      <c r="S32" s="113"/>
      <c r="T32" s="29"/>
      <c r="U32" s="161"/>
      <c r="V32" s="112"/>
      <c r="W32" s="112"/>
      <c r="X32" s="112"/>
      <c r="Y32" s="112"/>
      <c r="Z32" s="112"/>
      <c r="AA32" s="29"/>
      <c r="AB32" s="161"/>
      <c r="AC32" s="112"/>
      <c r="AD32" s="112"/>
      <c r="AE32" s="112"/>
      <c r="AF32" s="112"/>
      <c r="AG32" s="112"/>
      <c r="AH32" s="29"/>
      <c r="AI32" s="161"/>
      <c r="AJ32" s="112"/>
      <c r="AK32" s="112"/>
      <c r="AL32" s="112"/>
      <c r="AM32" s="112"/>
      <c r="AN32" s="112"/>
      <c r="AO32" s="29"/>
      <c r="AP32" s="112"/>
      <c r="AQ32" s="112"/>
      <c r="AR32" s="112"/>
      <c r="AS32" s="112"/>
      <c r="AT32" s="112"/>
      <c r="AU32" s="112"/>
      <c r="AV32" s="31"/>
      <c r="AW32" s="29"/>
      <c r="AX32" s="29"/>
      <c r="AY32" s="29"/>
      <c r="AZ32" s="29"/>
    </row>
    <row r="33" spans="2:52" ht="15" customHeight="1">
      <c r="B33" s="30"/>
      <c r="C33" s="27"/>
      <c r="D33" s="47" t="s">
        <v>259</v>
      </c>
      <c r="E33" s="27"/>
      <c r="F33" s="27"/>
      <c r="G33" s="161"/>
      <c r="H33" s="113"/>
      <c r="I33" s="113"/>
      <c r="J33" s="113"/>
      <c r="K33" s="113"/>
      <c r="L33" s="113"/>
      <c r="M33" s="211"/>
      <c r="N33" s="161"/>
      <c r="O33" s="113"/>
      <c r="P33" s="113"/>
      <c r="Q33" s="113"/>
      <c r="R33" s="113"/>
      <c r="S33" s="113"/>
      <c r="T33" s="29"/>
      <c r="U33" s="161"/>
      <c r="V33" s="113"/>
      <c r="W33" s="113"/>
      <c r="X33" s="113"/>
      <c r="Y33" s="113"/>
      <c r="Z33" s="113"/>
      <c r="AA33" s="29"/>
      <c r="AB33" s="161"/>
      <c r="AC33" s="113"/>
      <c r="AD33" s="113"/>
      <c r="AE33" s="113"/>
      <c r="AF33" s="113"/>
      <c r="AG33" s="113"/>
      <c r="AH33" s="29"/>
      <c r="AI33" s="161"/>
      <c r="AJ33" s="113"/>
      <c r="AK33" s="113"/>
      <c r="AL33" s="113"/>
      <c r="AM33" s="113"/>
      <c r="AN33" s="113"/>
      <c r="AO33" s="29"/>
      <c r="AP33" s="113"/>
      <c r="AQ33" s="113"/>
      <c r="AR33" s="113"/>
      <c r="AS33" s="113"/>
      <c r="AT33" s="113"/>
      <c r="AU33" s="113"/>
      <c r="AV33" s="31"/>
      <c r="AW33" s="29"/>
      <c r="AX33" s="29"/>
      <c r="AY33" s="29"/>
      <c r="AZ33" s="29"/>
    </row>
    <row r="34" spans="2:52" ht="15" customHeight="1">
      <c r="B34" s="30"/>
      <c r="C34" s="27"/>
      <c r="D34" s="47" t="s">
        <v>99</v>
      </c>
      <c r="E34" s="27"/>
      <c r="F34" s="27"/>
      <c r="G34" s="161"/>
      <c r="H34" s="113"/>
      <c r="I34" s="113"/>
      <c r="J34" s="113"/>
      <c r="K34" s="113"/>
      <c r="L34" s="113"/>
      <c r="M34" s="211"/>
      <c r="N34" s="161"/>
      <c r="O34" s="113"/>
      <c r="P34" s="113"/>
      <c r="Q34" s="113"/>
      <c r="R34" s="113"/>
      <c r="S34" s="113"/>
      <c r="T34" s="29"/>
      <c r="U34" s="161"/>
      <c r="V34" s="113"/>
      <c r="W34" s="113"/>
      <c r="X34" s="113"/>
      <c r="Y34" s="113"/>
      <c r="Z34" s="113"/>
      <c r="AA34" s="29"/>
      <c r="AB34" s="161"/>
      <c r="AC34" s="113"/>
      <c r="AD34" s="113"/>
      <c r="AE34" s="113"/>
      <c r="AF34" s="113"/>
      <c r="AG34" s="113"/>
      <c r="AH34" s="29"/>
      <c r="AI34" s="161"/>
      <c r="AJ34" s="113"/>
      <c r="AK34" s="113"/>
      <c r="AL34" s="113"/>
      <c r="AM34" s="113"/>
      <c r="AN34" s="113"/>
      <c r="AO34" s="29"/>
      <c r="AP34" s="113"/>
      <c r="AQ34" s="113"/>
      <c r="AR34" s="113"/>
      <c r="AS34" s="113"/>
      <c r="AT34" s="113"/>
      <c r="AU34" s="113"/>
      <c r="AV34" s="31"/>
      <c r="AW34" s="29"/>
      <c r="AX34" s="29"/>
      <c r="AY34" s="29"/>
      <c r="AZ34" s="29"/>
    </row>
    <row r="35" spans="2:52" ht="15" customHeight="1">
      <c r="B35" s="30"/>
      <c r="C35" s="2"/>
      <c r="D35" s="13" t="s">
        <v>219</v>
      </c>
      <c r="E35" s="2"/>
      <c r="F35" s="2"/>
      <c r="G35" s="161"/>
      <c r="H35" s="113"/>
      <c r="I35" s="113"/>
      <c r="J35" s="113"/>
      <c r="K35" s="113"/>
      <c r="L35" s="113"/>
      <c r="M35" s="211"/>
      <c r="N35" s="161"/>
      <c r="O35" s="113"/>
      <c r="P35" s="113"/>
      <c r="Q35" s="113"/>
      <c r="R35" s="113"/>
      <c r="S35" s="113"/>
      <c r="T35" s="29"/>
      <c r="U35" s="161"/>
      <c r="V35" s="113"/>
      <c r="W35" s="113"/>
      <c r="X35" s="113"/>
      <c r="Y35" s="113"/>
      <c r="Z35" s="113"/>
      <c r="AA35" s="29"/>
      <c r="AB35" s="161"/>
      <c r="AC35" s="113"/>
      <c r="AD35" s="113"/>
      <c r="AE35" s="113"/>
      <c r="AF35" s="113"/>
      <c r="AG35" s="113"/>
      <c r="AH35" s="29"/>
      <c r="AI35" s="161"/>
      <c r="AJ35" s="113"/>
      <c r="AK35" s="113"/>
      <c r="AL35" s="113"/>
      <c r="AM35" s="113"/>
      <c r="AN35" s="165"/>
      <c r="AO35" s="29"/>
      <c r="AP35" s="113"/>
      <c r="AQ35" s="113"/>
      <c r="AR35" s="113"/>
      <c r="AS35" s="113"/>
      <c r="AT35" s="113"/>
      <c r="AU35" s="113"/>
      <c r="AV35" s="31"/>
      <c r="AW35" s="29"/>
      <c r="AX35" s="29"/>
      <c r="AY35" s="29"/>
      <c r="AZ35" s="29"/>
    </row>
    <row r="36" spans="2:52" ht="6.75" customHeight="1" thickBot="1">
      <c r="B36" s="37"/>
      <c r="C36" s="15"/>
      <c r="D36" s="788"/>
      <c r="E36" s="15"/>
      <c r="F36" s="15"/>
      <c r="G36" s="15"/>
      <c r="H36" s="15"/>
      <c r="I36" s="15"/>
      <c r="J36" s="15"/>
      <c r="K36" s="15"/>
      <c r="L36" s="15"/>
      <c r="M36" s="15"/>
      <c r="N36" s="15"/>
      <c r="O36" s="15"/>
      <c r="P36" s="15"/>
      <c r="Q36" s="15"/>
      <c r="R36" s="15"/>
      <c r="S36" s="15"/>
      <c r="T36" s="38"/>
      <c r="U36" s="15"/>
      <c r="V36" s="15"/>
      <c r="W36" s="15"/>
      <c r="X36" s="15"/>
      <c r="Y36" s="15"/>
      <c r="Z36" s="15"/>
      <c r="AA36" s="38"/>
      <c r="AB36" s="15"/>
      <c r="AC36" s="15"/>
      <c r="AD36" s="15"/>
      <c r="AE36" s="15"/>
      <c r="AF36" s="15"/>
      <c r="AG36" s="15"/>
      <c r="AH36" s="38"/>
      <c r="AI36" s="15"/>
      <c r="AJ36" s="15"/>
      <c r="AK36" s="15"/>
      <c r="AL36" s="15"/>
      <c r="AM36" s="15"/>
      <c r="AN36" s="15"/>
      <c r="AO36" s="38"/>
      <c r="AP36" s="15"/>
      <c r="AQ36" s="15"/>
      <c r="AR36" s="15"/>
      <c r="AS36" s="15"/>
      <c r="AT36" s="15"/>
      <c r="AU36" s="15"/>
      <c r="AV36" s="39"/>
    </row>
    <row r="37" spans="2:52"/>
    <row r="38" spans="2:52" hidden="1"/>
    <row r="39" spans="2:52" ht="17.25" hidden="1">
      <c r="M39" s="53"/>
    </row>
    <row r="40" spans="2:52" ht="17.25" hidden="1">
      <c r="M40" s="53"/>
    </row>
    <row r="41" spans="2:52" ht="15.75" hidden="1">
      <c r="M41" s="159"/>
    </row>
    <row r="42" spans="2:52" ht="17.25" hidden="1">
      <c r="M42" s="53"/>
    </row>
    <row r="43" spans="2:52" hidden="1">
      <c r="M43" s="102"/>
    </row>
    <row r="44" spans="2:52" ht="21" hidden="1">
      <c r="M44" s="27"/>
    </row>
    <row r="45" spans="2:52" ht="21" hidden="1">
      <c r="M45" s="27"/>
    </row>
    <row r="46" spans="2:52" ht="15.75" hidden="1">
      <c r="M46" s="67"/>
    </row>
    <row r="47" spans="2:52" ht="15.75" hidden="1">
      <c r="M47" s="67"/>
    </row>
    <row r="48" spans="2:52" hidden="1">
      <c r="M48" s="163"/>
    </row>
    <row r="49" spans="13:13" hidden="1">
      <c r="M49" s="163"/>
    </row>
    <row r="50" spans="13:13" hidden="1">
      <c r="M50" s="211"/>
    </row>
    <row r="51" spans="13:13" hidden="1">
      <c r="M51" s="105"/>
    </row>
    <row r="52" spans="13:13" hidden="1">
      <c r="M52" s="211"/>
    </row>
    <row r="53" spans="13:13" hidden="1">
      <c r="M53" s="211"/>
    </row>
    <row r="54" spans="13:13" hidden="1">
      <c r="M54" s="211"/>
    </row>
    <row r="55" spans="13:13" ht="15.75" hidden="1" thickBot="1">
      <c r="M55" s="77"/>
    </row>
    <row r="56" spans="13:13" hidden="1"/>
    <row r="57" spans="13:13" ht="17.25" hidden="1">
      <c r="M57" s="53"/>
    </row>
    <row r="58" spans="13:13" ht="17.25" hidden="1">
      <c r="M58" s="53"/>
    </row>
    <row r="59" spans="13:13" ht="15.75" hidden="1">
      <c r="M59" s="159"/>
    </row>
    <row r="60" spans="13:13" ht="17.25" hidden="1">
      <c r="M60" s="53"/>
    </row>
    <row r="61" spans="13:13" hidden="1">
      <c r="M61" s="102"/>
    </row>
    <row r="62" spans="13:13" ht="21" hidden="1">
      <c r="M62" s="27"/>
    </row>
    <row r="63" spans="13:13" ht="21" hidden="1">
      <c r="M63" s="27"/>
    </row>
    <row r="64" spans="13:13" ht="15.75" hidden="1">
      <c r="M64" s="67"/>
    </row>
    <row r="65" spans="13:13" ht="15.75" hidden="1">
      <c r="M65" s="67"/>
    </row>
    <row r="66" spans="13:13" hidden="1">
      <c r="M66" s="163"/>
    </row>
    <row r="67" spans="13:13" hidden="1">
      <c r="M67" s="163"/>
    </row>
    <row r="68" spans="13:13" hidden="1">
      <c r="M68" s="211"/>
    </row>
    <row r="69" spans="13:13" hidden="1">
      <c r="M69" s="105"/>
    </row>
    <row r="70" spans="13:13" hidden="1">
      <c r="M70" s="211"/>
    </row>
    <row r="71" spans="13:13" hidden="1">
      <c r="M71" s="211"/>
    </row>
    <row r="72" spans="13:13" hidden="1">
      <c r="M72" s="211"/>
    </row>
    <row r="73" spans="13:13" ht="15.75" hidden="1" thickBot="1">
      <c r="M73" s="77"/>
    </row>
    <row r="74" spans="13:13" hidden="1"/>
    <row r="75" spans="13:13" ht="17.25" hidden="1">
      <c r="M75" s="53"/>
    </row>
    <row r="76" spans="13:13" ht="17.25" hidden="1">
      <c r="M76" s="53"/>
    </row>
    <row r="77" spans="13:13" ht="15.75" hidden="1">
      <c r="M77" s="159"/>
    </row>
    <row r="78" spans="13:13" ht="17.25" hidden="1">
      <c r="M78" s="53"/>
    </row>
    <row r="79" spans="13:13" hidden="1">
      <c r="M79" s="102"/>
    </row>
    <row r="80" spans="13:13" ht="21" hidden="1">
      <c r="M80" s="27"/>
    </row>
    <row r="81" spans="13:13" ht="21" hidden="1">
      <c r="M81" s="27"/>
    </row>
    <row r="82" spans="13:13" ht="15.75" hidden="1">
      <c r="M82" s="67"/>
    </row>
    <row r="83" spans="13:13" ht="15.75" hidden="1">
      <c r="M83" s="67"/>
    </row>
    <row r="84" spans="13:13" hidden="1">
      <c r="M84" s="163"/>
    </row>
    <row r="85" spans="13:13" hidden="1">
      <c r="M85" s="163"/>
    </row>
    <row r="86" spans="13:13" hidden="1">
      <c r="M86" s="211"/>
    </row>
    <row r="87" spans="13:13" hidden="1">
      <c r="M87" s="105"/>
    </row>
    <row r="88" spans="13:13" hidden="1">
      <c r="M88" s="211"/>
    </row>
    <row r="89" spans="13:13" hidden="1">
      <c r="M89" s="211"/>
    </row>
    <row r="90" spans="13:13" hidden="1">
      <c r="M90" s="211"/>
    </row>
    <row r="91" spans="13:13" ht="15.75" hidden="1" thickBot="1">
      <c r="M91" s="77"/>
    </row>
    <row r="92" spans="13:13" hidden="1"/>
    <row r="93" spans="13:13" hidden="1"/>
    <row r="94" spans="13:13" hidden="1"/>
    <row r="95" spans="13:13" hidden="1"/>
    <row r="96" spans="13:1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row r="130"/>
  </sheetData>
  <mergeCells count="21">
    <mergeCell ref="D7:L8"/>
    <mergeCell ref="AP20:AU20"/>
    <mergeCell ref="G20:L20"/>
    <mergeCell ref="N20:S20"/>
    <mergeCell ref="U20:Z20"/>
    <mergeCell ref="AB20:AG20"/>
    <mergeCell ref="AI20:AN20"/>
    <mergeCell ref="C25:E25"/>
    <mergeCell ref="AP21:AU21"/>
    <mergeCell ref="G21:L21"/>
    <mergeCell ref="N21:S21"/>
    <mergeCell ref="U21:Z21"/>
    <mergeCell ref="AB21:AG21"/>
    <mergeCell ref="AI21:AN21"/>
    <mergeCell ref="AI22:AN22"/>
    <mergeCell ref="AP22:AU22"/>
    <mergeCell ref="C24:E24"/>
    <mergeCell ref="G22:L22"/>
    <mergeCell ref="N22:S22"/>
    <mergeCell ref="U22:Z22"/>
    <mergeCell ref="AB22:AG22"/>
  </mergeCells>
  <dataValidations count="7">
    <dataValidation type="decimal" operator="greaterThanOrEqual" allowBlank="1" showInputMessage="1" showErrorMessage="1" error="Value should be &gt;=0" sqref="G29:L35 AP29:AU35 AI29:AN35 AB29:AG35 U29:Z35 N29:S35">
      <formula1>0</formula1>
    </dataValidation>
    <dataValidation type="list" allowBlank="1" showInputMessage="1" showErrorMessage="1" sqref="I24">
      <formula1>list2_traveltime</formula1>
    </dataValidation>
    <dataValidation type="list" allowBlank="1" showInputMessage="1" showErrorMessage="1" sqref="J24">
      <formula1>list2_delay</formula1>
    </dataValidation>
    <dataValidation type="list" allowBlank="1" showInputMessage="1" showErrorMessage="1" sqref="K24">
      <formula1>list2_reliability</formula1>
    </dataValidation>
    <dataValidation type="list" allowBlank="1" showInputMessage="1" showErrorMessage="1" sqref="L24">
      <formula1>list2_tripquality</formula1>
    </dataValidation>
    <dataValidation type="list" allowBlank="1" showInputMessage="1" showErrorMessage="1" sqref="G24">
      <formula1>list2_volume</formula1>
    </dataValidation>
    <dataValidation type="list" allowBlank="1" showInputMessage="1" showErrorMessage="1" sqref="H24">
      <formula1>list2_speed</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rgb="FFFFFF00"/>
  </sheetPr>
  <dimension ref="A1:BG52"/>
  <sheetViews>
    <sheetView zoomScale="70" zoomScaleNormal="70" workbookViewId="0"/>
  </sheetViews>
  <sheetFormatPr defaultColWidth="0" defaultRowHeight="0" customHeight="1" zeroHeight="1"/>
  <cols>
    <col min="1" max="1" width="3.85546875" style="28" customWidth="1"/>
    <col min="2" max="2" width="2.42578125" style="28" customWidth="1"/>
    <col min="3" max="3" width="3.28515625" style="28" customWidth="1"/>
    <col min="4" max="4" width="10.5703125" style="28" customWidth="1"/>
    <col min="5" max="5" width="30.140625" style="28" customWidth="1"/>
    <col min="6" max="6" width="5.5703125" style="28" customWidth="1"/>
    <col min="7" max="9" width="27.85546875" style="28" customWidth="1"/>
    <col min="10" max="10" width="1.7109375" style="28" customWidth="1"/>
    <col min="11" max="13" width="22.42578125" style="28" customWidth="1"/>
    <col min="14" max="14" width="1.7109375" style="28" customWidth="1"/>
    <col min="15" max="17" width="22.42578125" style="28" customWidth="1"/>
    <col min="18" max="18" width="1.7109375" style="28" customWidth="1"/>
    <col min="19" max="21" width="22.42578125" style="28" customWidth="1"/>
    <col min="22" max="22" width="1.7109375" style="28" customWidth="1"/>
    <col min="23" max="25" width="22.42578125" style="28" customWidth="1"/>
    <col min="26" max="26" width="1.7109375" style="28" customWidth="1"/>
    <col min="27" max="29" width="22.42578125" style="28" customWidth="1"/>
    <col min="30" max="30" width="2.5703125" style="28" customWidth="1"/>
    <col min="31" max="31" width="3.7109375" style="28" customWidth="1"/>
    <col min="32" max="59" width="0" style="28" hidden="1" customWidth="1"/>
    <col min="60" max="16384" width="8.85546875" style="28" hidden="1"/>
  </cols>
  <sheetData>
    <row r="1" spans="1:52" ht="15" customHeight="1" thickBot="1">
      <c r="AE1" s="29"/>
      <c r="AF1" s="29"/>
      <c r="AG1" s="29"/>
      <c r="AH1" s="29"/>
    </row>
    <row r="2" spans="1:52" ht="20.100000000000001" customHeight="1" thickBot="1">
      <c r="A2" s="29"/>
      <c r="B2" s="121" t="s">
        <v>48</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3"/>
      <c r="AE2" s="29"/>
      <c r="AF2" s="29"/>
      <c r="AG2" s="29"/>
      <c r="AH2" s="29"/>
    </row>
    <row r="3" spans="1:52" ht="9.9499999999999993" customHeight="1">
      <c r="A3" s="29"/>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4"/>
      <c r="AE3" s="29"/>
      <c r="AF3" s="29"/>
      <c r="AG3" s="29"/>
      <c r="AH3" s="29"/>
    </row>
    <row r="4" spans="1:52" ht="15" customHeight="1">
      <c r="A4" s="29"/>
      <c r="B4" s="42"/>
      <c r="C4" s="98" t="s">
        <v>4</v>
      </c>
      <c r="D4" s="99"/>
      <c r="E4" s="99"/>
      <c r="F4" s="99"/>
      <c r="G4" s="99"/>
      <c r="H4" s="99"/>
      <c r="I4" s="99"/>
      <c r="J4" s="99"/>
      <c r="K4" s="99"/>
      <c r="L4" s="99"/>
      <c r="M4" s="100"/>
      <c r="N4" s="66"/>
      <c r="O4" s="66"/>
      <c r="P4" s="66"/>
      <c r="Q4" s="66"/>
      <c r="R4" s="66"/>
      <c r="S4" s="66"/>
      <c r="T4" s="66"/>
      <c r="U4" s="66"/>
      <c r="V4" s="66"/>
      <c r="W4" s="66"/>
      <c r="X4" s="66"/>
      <c r="Y4" s="66"/>
      <c r="Z4" s="66"/>
      <c r="AA4" s="66"/>
      <c r="AB4" s="66"/>
      <c r="AC4" s="66"/>
      <c r="AD4" s="44"/>
      <c r="AE4" s="29"/>
      <c r="AF4" s="29"/>
      <c r="AG4" s="29"/>
      <c r="AH4" s="29"/>
    </row>
    <row r="5" spans="1:52" ht="15" customHeight="1">
      <c r="B5" s="30"/>
      <c r="C5" s="142" t="s">
        <v>79</v>
      </c>
      <c r="D5" s="63" t="s">
        <v>601</v>
      </c>
      <c r="E5" s="27"/>
      <c r="F5" s="27"/>
      <c r="G5" s="27"/>
      <c r="H5" s="27"/>
      <c r="I5" s="27"/>
      <c r="J5" s="27"/>
      <c r="K5" s="27"/>
      <c r="L5" s="27"/>
      <c r="M5" s="57"/>
      <c r="N5" s="27"/>
      <c r="O5" s="27"/>
      <c r="P5" s="27"/>
      <c r="Q5" s="27"/>
      <c r="R5" s="27"/>
      <c r="S5" s="27"/>
      <c r="T5" s="27"/>
      <c r="U5" s="27"/>
      <c r="V5" s="27"/>
      <c r="W5" s="27"/>
      <c r="X5" s="27"/>
      <c r="Y5" s="27"/>
      <c r="Z5" s="27"/>
      <c r="AA5" s="27"/>
      <c r="AB5" s="27"/>
      <c r="AC5" s="27"/>
      <c r="AD5" s="31"/>
      <c r="AE5" s="29"/>
      <c r="AF5" s="29"/>
      <c r="AG5" s="29"/>
      <c r="AH5" s="29"/>
    </row>
    <row r="6" spans="1:52" ht="15" customHeight="1">
      <c r="B6" s="30"/>
      <c r="C6" s="142" t="s">
        <v>79</v>
      </c>
      <c r="D6" s="63" t="s">
        <v>492</v>
      </c>
      <c r="E6" s="27"/>
      <c r="F6" s="27"/>
      <c r="G6" s="27"/>
      <c r="H6" s="27"/>
      <c r="I6" s="27"/>
      <c r="J6" s="27"/>
      <c r="K6" s="27"/>
      <c r="L6" s="27"/>
      <c r="M6" s="57"/>
      <c r="N6" s="27"/>
      <c r="O6" s="27"/>
      <c r="P6" s="27"/>
      <c r="Q6" s="27"/>
      <c r="R6" s="27"/>
      <c r="S6" s="27"/>
      <c r="T6" s="27"/>
      <c r="U6" s="27"/>
      <c r="V6" s="27"/>
      <c r="W6" s="27"/>
      <c r="X6" s="27"/>
      <c r="Y6" s="27"/>
      <c r="Z6" s="27"/>
      <c r="AA6" s="27"/>
      <c r="AB6" s="27"/>
      <c r="AC6" s="27"/>
      <c r="AD6" s="31"/>
      <c r="AE6" s="29"/>
      <c r="AF6" s="29"/>
      <c r="AG6" s="29"/>
      <c r="AH6" s="29"/>
    </row>
    <row r="7" spans="1:52" ht="15" customHeight="1">
      <c r="B7" s="30"/>
      <c r="C7" s="142" t="s">
        <v>79</v>
      </c>
      <c r="D7" s="1005" t="s">
        <v>616</v>
      </c>
      <c r="E7" s="1005"/>
      <c r="F7" s="1005"/>
      <c r="G7" s="1005"/>
      <c r="H7" s="1005"/>
      <c r="I7" s="1005"/>
      <c r="J7" s="1005"/>
      <c r="K7" s="1005"/>
      <c r="L7" s="27"/>
      <c r="M7" s="57"/>
      <c r="N7" s="27"/>
      <c r="O7" s="27"/>
      <c r="P7" s="27"/>
      <c r="Q7" s="27"/>
      <c r="R7" s="27"/>
      <c r="S7" s="27"/>
      <c r="T7" s="27"/>
      <c r="U7" s="27"/>
      <c r="V7" s="27"/>
      <c r="W7" s="27"/>
      <c r="X7" s="27"/>
      <c r="Y7" s="27"/>
      <c r="Z7" s="27"/>
      <c r="AA7" s="27"/>
      <c r="AB7" s="27"/>
      <c r="AC7" s="27"/>
      <c r="AD7" s="789"/>
      <c r="AE7" s="27"/>
      <c r="AF7" s="27"/>
      <c r="AG7" s="27"/>
      <c r="AH7" s="27"/>
      <c r="AI7" s="27"/>
      <c r="AJ7" s="27"/>
      <c r="AK7" s="27"/>
      <c r="AL7" s="27"/>
      <c r="AM7" s="27"/>
      <c r="AN7" s="27"/>
      <c r="AO7" s="27"/>
      <c r="AP7" s="27"/>
      <c r="AQ7" s="27"/>
      <c r="AR7" s="27"/>
      <c r="AS7" s="27"/>
      <c r="AT7" s="27"/>
      <c r="AU7" s="73"/>
      <c r="AV7" s="29"/>
      <c r="AW7" s="29"/>
      <c r="AX7" s="29"/>
      <c r="AY7" s="29"/>
    </row>
    <row r="8" spans="1:52" ht="15" customHeight="1">
      <c r="B8" s="30"/>
      <c r="C8" s="142"/>
      <c r="D8" s="1005"/>
      <c r="E8" s="1005"/>
      <c r="F8" s="1005"/>
      <c r="G8" s="1005"/>
      <c r="H8" s="1005"/>
      <c r="I8" s="1005"/>
      <c r="J8" s="1005"/>
      <c r="K8" s="1005"/>
      <c r="L8" s="27"/>
      <c r="M8" s="57"/>
      <c r="N8" s="27"/>
      <c r="O8" s="27"/>
      <c r="P8" s="27"/>
      <c r="Q8" s="27"/>
      <c r="R8" s="27"/>
      <c r="S8" s="27"/>
      <c r="T8" s="27"/>
      <c r="U8" s="27"/>
      <c r="V8" s="27"/>
      <c r="W8" s="27"/>
      <c r="X8" s="27"/>
      <c r="Y8" s="27"/>
      <c r="Z8" s="27"/>
      <c r="AA8" s="27"/>
      <c r="AB8" s="27"/>
      <c r="AC8" s="27"/>
      <c r="AD8" s="789"/>
      <c r="AE8" s="27"/>
      <c r="AF8" s="27"/>
      <c r="AG8" s="27"/>
      <c r="AH8" s="27"/>
      <c r="AI8" s="27"/>
      <c r="AJ8" s="27"/>
      <c r="AK8" s="27"/>
      <c r="AL8" s="27"/>
      <c r="AM8" s="27"/>
      <c r="AN8" s="27"/>
      <c r="AO8" s="27"/>
      <c r="AP8" s="27"/>
      <c r="AQ8" s="27"/>
      <c r="AR8" s="27"/>
      <c r="AS8" s="27"/>
      <c r="AT8" s="27"/>
      <c r="AU8" s="73"/>
      <c r="AV8" s="29"/>
      <c r="AW8" s="29"/>
      <c r="AX8" s="29"/>
      <c r="AY8" s="29"/>
    </row>
    <row r="9" spans="1:52" ht="15" customHeight="1">
      <c r="B9" s="32"/>
      <c r="C9" s="142" t="s">
        <v>79</v>
      </c>
      <c r="D9" s="63" t="s">
        <v>624</v>
      </c>
      <c r="E9" s="27"/>
      <c r="F9" s="27"/>
      <c r="G9" s="27"/>
      <c r="H9" s="27"/>
      <c r="I9" s="27"/>
      <c r="J9" s="27"/>
      <c r="K9" s="27"/>
      <c r="L9" s="27"/>
      <c r="M9" s="57"/>
      <c r="N9" s="27"/>
      <c r="O9" s="27"/>
      <c r="P9" s="27"/>
      <c r="Q9" s="27"/>
      <c r="R9" s="27"/>
      <c r="S9" s="27"/>
      <c r="T9" s="27"/>
      <c r="U9" s="27"/>
      <c r="V9" s="27"/>
      <c r="W9" s="27"/>
      <c r="X9" s="27"/>
      <c r="Y9" s="27"/>
      <c r="Z9" s="27"/>
      <c r="AA9" s="27"/>
      <c r="AB9" s="27"/>
      <c r="AC9" s="27"/>
      <c r="AD9" s="789"/>
      <c r="AE9" s="27"/>
      <c r="AF9" s="27"/>
      <c r="AG9" s="27"/>
      <c r="AH9" s="27"/>
      <c r="AI9" s="27"/>
      <c r="AJ9" s="27"/>
      <c r="AK9" s="27"/>
      <c r="AL9" s="27"/>
      <c r="AM9" s="27"/>
      <c r="AN9" s="27"/>
      <c r="AO9" s="27"/>
      <c r="AP9" s="27"/>
      <c r="AQ9" s="27"/>
      <c r="AR9" s="27"/>
      <c r="AS9" s="27"/>
      <c r="AT9" s="27"/>
      <c r="AU9" s="73"/>
      <c r="AV9" s="29"/>
      <c r="AW9" s="29"/>
      <c r="AX9" s="29"/>
      <c r="AY9" s="29"/>
    </row>
    <row r="10" spans="1:52" ht="15" customHeight="1">
      <c r="B10" s="32"/>
      <c r="C10" s="142" t="s">
        <v>79</v>
      </c>
      <c r="D10" s="63" t="s">
        <v>697</v>
      </c>
      <c r="E10" s="27"/>
      <c r="F10" s="27"/>
      <c r="G10" s="27"/>
      <c r="H10" s="27"/>
      <c r="I10" s="27"/>
      <c r="J10" s="27"/>
      <c r="K10" s="27"/>
      <c r="L10" s="27"/>
      <c r="M10" s="57"/>
      <c r="N10" s="27"/>
      <c r="O10" s="27"/>
      <c r="P10" s="27"/>
      <c r="Q10" s="27"/>
      <c r="R10" s="27"/>
      <c r="S10" s="27"/>
      <c r="T10" s="27"/>
      <c r="U10" s="27"/>
      <c r="V10" s="27"/>
      <c r="W10" s="27"/>
      <c r="X10" s="27"/>
      <c r="Y10" s="27"/>
      <c r="Z10" s="27"/>
      <c r="AA10" s="27"/>
      <c r="AB10" s="27"/>
      <c r="AC10" s="27"/>
      <c r="AD10" s="789"/>
      <c r="AE10" s="27"/>
      <c r="AF10" s="27"/>
      <c r="AG10" s="27"/>
      <c r="AH10" s="27"/>
      <c r="AI10" s="27"/>
      <c r="AJ10" s="27"/>
      <c r="AK10" s="27"/>
      <c r="AL10" s="27"/>
      <c r="AM10" s="27"/>
      <c r="AN10" s="27"/>
      <c r="AO10" s="27"/>
      <c r="AP10" s="27"/>
      <c r="AQ10" s="27"/>
      <c r="AR10" s="27"/>
      <c r="AS10" s="27"/>
      <c r="AT10" s="27"/>
      <c r="AU10" s="27"/>
      <c r="AV10" s="31"/>
      <c r="AW10" s="29"/>
      <c r="AX10" s="29"/>
      <c r="AY10" s="29"/>
      <c r="AZ10" s="29"/>
    </row>
    <row r="11" spans="1:52" ht="15" customHeight="1">
      <c r="B11" s="32"/>
      <c r="C11" s="142"/>
      <c r="D11" s="63" t="s">
        <v>621</v>
      </c>
      <c r="E11" s="27"/>
      <c r="F11" s="27"/>
      <c r="G11" s="27"/>
      <c r="H11" s="27"/>
      <c r="I11" s="27"/>
      <c r="J11" s="27"/>
      <c r="K11" s="27"/>
      <c r="L11" s="27"/>
      <c r="M11" s="57"/>
      <c r="N11" s="27"/>
      <c r="O11" s="27"/>
      <c r="P11" s="27"/>
      <c r="Q11" s="27"/>
      <c r="R11" s="27"/>
      <c r="S11" s="27"/>
      <c r="T11" s="27"/>
      <c r="U11" s="27"/>
      <c r="V11" s="27"/>
      <c r="W11" s="27"/>
      <c r="X11" s="27"/>
      <c r="Y11" s="27"/>
      <c r="Z11" s="27"/>
      <c r="AA11" s="27"/>
      <c r="AB11" s="27"/>
      <c r="AC11" s="27"/>
      <c r="AD11" s="789"/>
      <c r="AE11" s="27"/>
      <c r="AF11" s="27"/>
      <c r="AG11" s="27"/>
      <c r="AH11" s="27"/>
      <c r="AI11" s="27"/>
      <c r="AJ11" s="27"/>
      <c r="AK11" s="27"/>
      <c r="AL11" s="27"/>
      <c r="AM11" s="27"/>
      <c r="AN11" s="27"/>
      <c r="AO11" s="27"/>
      <c r="AP11" s="27"/>
      <c r="AQ11" s="27"/>
      <c r="AR11" s="27"/>
      <c r="AS11" s="27"/>
      <c r="AT11" s="27"/>
      <c r="AU11" s="27"/>
      <c r="AV11" s="31"/>
      <c r="AW11" s="29"/>
      <c r="AX11" s="29"/>
      <c r="AY11" s="29"/>
      <c r="AZ11" s="29"/>
    </row>
    <row r="12" spans="1:52" ht="15" customHeight="1">
      <c r="B12" s="30"/>
      <c r="C12" s="142" t="s">
        <v>79</v>
      </c>
      <c r="D12" s="771" t="s">
        <v>607</v>
      </c>
      <c r="E12" s="741"/>
      <c r="F12" s="741"/>
      <c r="G12" s="741"/>
      <c r="H12" s="741"/>
      <c r="I12" s="741"/>
      <c r="J12" s="741"/>
      <c r="K12" s="741"/>
      <c r="L12" s="741"/>
      <c r="M12" s="742"/>
      <c r="N12" s="741"/>
      <c r="O12" s="741"/>
      <c r="P12" s="741"/>
      <c r="Q12" s="741"/>
      <c r="R12" s="29"/>
      <c r="S12" s="29"/>
      <c r="T12" s="29"/>
      <c r="U12" s="29"/>
      <c r="V12" s="29"/>
      <c r="W12" s="29"/>
      <c r="X12" s="29"/>
      <c r="Y12" s="29"/>
      <c r="Z12" s="29"/>
      <c r="AA12" s="29"/>
      <c r="AB12" s="29"/>
      <c r="AC12" s="29"/>
      <c r="AD12" s="31"/>
      <c r="AE12" s="29"/>
      <c r="AF12" s="29"/>
      <c r="AG12" s="29"/>
      <c r="AH12" s="29"/>
      <c r="AI12" s="29"/>
      <c r="AJ12" s="29"/>
      <c r="AK12" s="29"/>
      <c r="AL12" s="29"/>
      <c r="AM12" s="29"/>
      <c r="AN12" s="29"/>
      <c r="AO12" s="29"/>
      <c r="AP12" s="29"/>
      <c r="AQ12" s="29"/>
      <c r="AR12" s="29"/>
      <c r="AS12" s="29"/>
      <c r="AT12" s="29"/>
      <c r="AU12" s="29"/>
      <c r="AV12" s="31"/>
    </row>
    <row r="13" spans="1:52" ht="15" customHeight="1">
      <c r="B13" s="30"/>
      <c r="C13" s="142" t="s">
        <v>79</v>
      </c>
      <c r="D13" s="63" t="s">
        <v>533</v>
      </c>
      <c r="E13" s="741"/>
      <c r="F13" s="741"/>
      <c r="G13" s="741"/>
      <c r="H13" s="741"/>
      <c r="I13" s="741"/>
      <c r="J13" s="741"/>
      <c r="K13" s="741"/>
      <c r="L13" s="741"/>
      <c r="M13" s="742"/>
      <c r="N13" s="741"/>
      <c r="O13" s="741"/>
      <c r="P13" s="741"/>
      <c r="Q13" s="741"/>
      <c r="R13" s="29"/>
      <c r="S13" s="29"/>
      <c r="T13" s="29"/>
      <c r="U13" s="29"/>
      <c r="V13" s="29"/>
      <c r="W13" s="29"/>
      <c r="X13" s="29"/>
      <c r="Y13" s="29"/>
      <c r="Z13" s="29"/>
      <c r="AA13" s="29"/>
      <c r="AB13" s="29"/>
      <c r="AC13" s="29"/>
      <c r="AD13" s="31"/>
      <c r="AE13" s="29"/>
      <c r="AF13" s="29"/>
      <c r="AG13" s="29"/>
      <c r="AH13" s="29"/>
      <c r="AI13" s="29"/>
      <c r="AJ13" s="29"/>
      <c r="AK13" s="29"/>
      <c r="AL13" s="29"/>
      <c r="AM13" s="29"/>
      <c r="AN13" s="29"/>
      <c r="AO13" s="29"/>
      <c r="AP13" s="29"/>
      <c r="AQ13" s="29"/>
      <c r="AR13" s="29"/>
      <c r="AS13" s="29"/>
      <c r="AT13" s="29"/>
      <c r="AU13" s="29"/>
      <c r="AV13" s="31"/>
    </row>
    <row r="14" spans="1:52" ht="15" customHeight="1">
      <c r="B14" s="32"/>
      <c r="C14" s="56"/>
      <c r="D14" s="27"/>
      <c r="E14" s="27"/>
      <c r="F14" s="27"/>
      <c r="G14" s="27"/>
      <c r="H14" s="27"/>
      <c r="I14" s="27"/>
      <c r="J14" s="27"/>
      <c r="K14" s="27"/>
      <c r="L14" s="27"/>
      <c r="M14" s="57"/>
      <c r="N14" s="27"/>
      <c r="O14" s="27"/>
      <c r="P14" s="27"/>
      <c r="Q14" s="27"/>
      <c r="R14" s="27"/>
      <c r="S14" s="27"/>
      <c r="T14" s="27"/>
      <c r="U14" s="27"/>
      <c r="V14" s="27"/>
      <c r="W14" s="27"/>
      <c r="X14" s="27"/>
      <c r="Y14" s="27"/>
      <c r="Z14" s="27"/>
      <c r="AA14" s="27"/>
      <c r="AB14" s="27"/>
      <c r="AC14" s="27"/>
      <c r="AD14" s="789"/>
      <c r="AE14" s="27"/>
      <c r="AF14" s="27"/>
      <c r="AG14" s="27"/>
      <c r="AH14" s="27"/>
      <c r="AI14" s="27"/>
      <c r="AJ14" s="27"/>
      <c r="AK14" s="27"/>
      <c r="AL14" s="27"/>
      <c r="AM14" s="27"/>
      <c r="AN14" s="27"/>
      <c r="AO14" s="27"/>
      <c r="AP14" s="27"/>
      <c r="AQ14" s="27"/>
      <c r="AR14" s="27"/>
      <c r="AS14" s="27"/>
      <c r="AT14" s="27"/>
      <c r="AU14" s="73"/>
      <c r="AV14" s="29"/>
      <c r="AW14" s="29"/>
      <c r="AX14" s="29"/>
      <c r="AY14" s="29"/>
    </row>
    <row r="15" spans="1:52" ht="15" customHeight="1">
      <c r="B15" s="32"/>
      <c r="C15" s="58" t="s">
        <v>11</v>
      </c>
      <c r="D15" s="29"/>
      <c r="E15" s="26"/>
      <c r="F15" s="27"/>
      <c r="G15" s="27"/>
      <c r="H15" s="27"/>
      <c r="I15" s="63"/>
      <c r="J15" s="27"/>
      <c r="K15" s="27"/>
      <c r="L15" s="27"/>
      <c r="M15" s="57"/>
      <c r="N15" s="27"/>
      <c r="O15" s="27"/>
      <c r="P15" s="27"/>
      <c r="Q15" s="27"/>
      <c r="R15" s="27"/>
      <c r="S15" s="27"/>
      <c r="T15" s="27"/>
      <c r="U15" s="27"/>
      <c r="V15" s="27"/>
      <c r="W15" s="27"/>
      <c r="X15" s="27"/>
      <c r="Y15" s="27"/>
      <c r="Z15" s="27"/>
      <c r="AA15" s="27"/>
      <c r="AB15" s="27"/>
      <c r="AC15" s="27"/>
      <c r="AD15" s="789"/>
      <c r="AE15" s="27"/>
      <c r="AF15" s="27"/>
      <c r="AG15" s="27"/>
      <c r="AH15" s="27"/>
      <c r="AI15" s="27"/>
      <c r="AJ15" s="27"/>
      <c r="AK15" s="27"/>
      <c r="AL15" s="27"/>
      <c r="AM15" s="27"/>
      <c r="AN15" s="27"/>
      <c r="AO15" s="27"/>
      <c r="AP15" s="27"/>
      <c r="AQ15" s="27"/>
      <c r="AR15" s="27"/>
      <c r="AS15" s="27"/>
      <c r="AT15" s="27"/>
      <c r="AU15" s="73"/>
      <c r="AV15" s="29"/>
      <c r="AW15" s="29"/>
      <c r="AX15" s="29"/>
      <c r="AY15" s="29"/>
    </row>
    <row r="16" spans="1:52" ht="15" customHeight="1">
      <c r="B16" s="32"/>
      <c r="C16" s="152"/>
      <c r="D16" s="63" t="s">
        <v>588</v>
      </c>
      <c r="E16" s="29"/>
      <c r="F16" s="27"/>
      <c r="G16" s="27"/>
      <c r="H16" s="27"/>
      <c r="I16" s="63"/>
      <c r="J16" s="27"/>
      <c r="K16" s="27"/>
      <c r="L16" s="27"/>
      <c r="M16" s="57"/>
      <c r="N16" s="27"/>
      <c r="O16" s="27"/>
      <c r="P16" s="27"/>
      <c r="Q16" s="27"/>
      <c r="R16" s="27"/>
      <c r="S16" s="27"/>
      <c r="T16" s="27"/>
      <c r="U16" s="27"/>
      <c r="V16" s="27"/>
      <c r="W16" s="27"/>
      <c r="X16" s="27"/>
      <c r="Y16" s="27"/>
      <c r="Z16" s="27"/>
      <c r="AA16" s="27"/>
      <c r="AB16" s="27"/>
      <c r="AC16" s="27"/>
      <c r="AD16" s="789"/>
      <c r="AE16" s="27"/>
      <c r="AF16" s="27"/>
      <c r="AG16" s="27"/>
      <c r="AH16" s="27"/>
      <c r="AI16" s="27"/>
      <c r="AJ16" s="27"/>
      <c r="AK16" s="27"/>
      <c r="AL16" s="27"/>
      <c r="AM16" s="27"/>
      <c r="AN16" s="27"/>
      <c r="AO16" s="27"/>
      <c r="AP16" s="27"/>
      <c r="AQ16" s="27"/>
      <c r="AR16" s="27"/>
      <c r="AS16" s="27"/>
      <c r="AT16" s="27"/>
      <c r="AU16" s="73"/>
      <c r="AV16" s="29"/>
      <c r="AW16" s="29"/>
      <c r="AX16" s="29"/>
      <c r="AY16" s="29"/>
    </row>
    <row r="17" spans="2:51" ht="15" customHeight="1">
      <c r="B17" s="32"/>
      <c r="C17" s="68"/>
      <c r="D17" s="63" t="s">
        <v>82</v>
      </c>
      <c r="E17" s="29"/>
      <c r="F17" s="27"/>
      <c r="G17" s="27"/>
      <c r="H17" s="27"/>
      <c r="I17" s="27"/>
      <c r="J17" s="27"/>
      <c r="K17" s="27"/>
      <c r="L17" s="27"/>
      <c r="M17" s="57"/>
      <c r="N17" s="27"/>
      <c r="O17" s="27"/>
      <c r="P17" s="27"/>
      <c r="Q17" s="27"/>
      <c r="R17" s="27"/>
      <c r="S17" s="27"/>
      <c r="T17" s="27"/>
      <c r="U17" s="27"/>
      <c r="V17" s="27"/>
      <c r="W17" s="27"/>
      <c r="X17" s="27"/>
      <c r="Y17" s="27"/>
      <c r="Z17" s="27"/>
      <c r="AA17" s="27"/>
      <c r="AB17" s="27"/>
      <c r="AC17" s="27"/>
      <c r="AD17" s="789"/>
      <c r="AE17" s="27"/>
      <c r="AF17" s="27"/>
      <c r="AG17" s="27"/>
      <c r="AH17" s="27"/>
      <c r="AI17" s="27"/>
      <c r="AJ17" s="27"/>
      <c r="AK17" s="27"/>
      <c r="AL17" s="27"/>
      <c r="AM17" s="27"/>
      <c r="AN17" s="27"/>
      <c r="AO17" s="27"/>
      <c r="AP17" s="27"/>
      <c r="AQ17" s="27"/>
      <c r="AR17" s="27"/>
      <c r="AS17" s="27"/>
      <c r="AT17" s="27"/>
      <c r="AU17" s="73"/>
      <c r="AV17" s="29"/>
      <c r="AW17" s="29"/>
      <c r="AX17" s="29"/>
      <c r="AY17" s="29"/>
    </row>
    <row r="18" spans="2:51" ht="15" customHeight="1">
      <c r="B18" s="32"/>
      <c r="C18" s="153" t="s">
        <v>33</v>
      </c>
      <c r="D18" s="781" t="s">
        <v>610</v>
      </c>
      <c r="E18" s="59"/>
      <c r="F18" s="60"/>
      <c r="G18" s="60"/>
      <c r="H18" s="60"/>
      <c r="I18" s="60"/>
      <c r="J18" s="60"/>
      <c r="K18" s="60"/>
      <c r="L18" s="60"/>
      <c r="M18" s="61"/>
      <c r="N18" s="27"/>
      <c r="O18" s="27"/>
      <c r="P18" s="27"/>
      <c r="Q18" s="27"/>
      <c r="R18" s="27"/>
      <c r="S18" s="27"/>
      <c r="T18" s="27"/>
      <c r="U18" s="27"/>
      <c r="V18" s="27"/>
      <c r="W18" s="27"/>
      <c r="X18" s="27"/>
      <c r="Y18" s="27"/>
      <c r="Z18" s="27"/>
      <c r="AA18" s="27"/>
      <c r="AB18" s="27"/>
      <c r="AC18" s="27"/>
      <c r="AD18" s="789"/>
      <c r="AE18" s="27"/>
      <c r="AF18" s="27"/>
      <c r="AG18" s="27"/>
      <c r="AH18" s="27"/>
      <c r="AI18" s="27"/>
      <c r="AJ18" s="27"/>
      <c r="AK18" s="27"/>
      <c r="AL18" s="27"/>
      <c r="AM18" s="27"/>
      <c r="AN18" s="27"/>
      <c r="AO18" s="27"/>
      <c r="AP18" s="27"/>
      <c r="AQ18" s="27"/>
      <c r="AR18" s="27"/>
      <c r="AS18" s="27"/>
      <c r="AT18" s="27"/>
      <c r="AU18" s="73"/>
      <c r="AV18" s="29"/>
      <c r="AW18" s="29"/>
      <c r="AX18" s="29"/>
      <c r="AY18" s="29"/>
    </row>
    <row r="19" spans="2:51" ht="15" customHeight="1">
      <c r="B19" s="24"/>
      <c r="C19" s="29"/>
      <c r="D19" s="29"/>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20"/>
      <c r="AE19" s="29"/>
      <c r="AF19" s="29"/>
      <c r="AG19" s="29"/>
      <c r="AH19" s="29"/>
    </row>
    <row r="20" spans="2:51" ht="15" customHeight="1">
      <c r="B20" s="33"/>
      <c r="C20" s="29"/>
      <c r="D20" s="47"/>
      <c r="E20" s="97"/>
      <c r="F20" s="97"/>
      <c r="G20" s="1021" t="s">
        <v>86</v>
      </c>
      <c r="H20" s="1021"/>
      <c r="I20" s="1021"/>
      <c r="J20" s="748"/>
      <c r="K20" s="1021" t="s">
        <v>5</v>
      </c>
      <c r="L20" s="1021"/>
      <c r="M20" s="1021"/>
      <c r="N20" s="748"/>
      <c r="O20" s="1021" t="s">
        <v>6</v>
      </c>
      <c r="P20" s="1021"/>
      <c r="Q20" s="1021"/>
      <c r="R20" s="748"/>
      <c r="S20" s="1021" t="s">
        <v>7</v>
      </c>
      <c r="T20" s="1021"/>
      <c r="U20" s="1021"/>
      <c r="V20" s="748"/>
      <c r="W20" s="1021" t="s">
        <v>8</v>
      </c>
      <c r="X20" s="1021"/>
      <c r="Y20" s="1021"/>
      <c r="Z20" s="748"/>
      <c r="AA20" s="1021" t="s">
        <v>9</v>
      </c>
      <c r="AB20" s="1021"/>
      <c r="AC20" s="1021"/>
      <c r="AD20" s="31"/>
      <c r="AE20" s="29"/>
      <c r="AF20" s="29"/>
      <c r="AG20" s="29"/>
      <c r="AH20" s="29"/>
    </row>
    <row r="21" spans="2:51" ht="15" customHeight="1">
      <c r="B21" s="33"/>
      <c r="C21" s="40" t="s">
        <v>589</v>
      </c>
      <c r="D21" s="47"/>
      <c r="E21" s="97"/>
      <c r="F21" s="97"/>
      <c r="G21" s="1023" t="str">
        <f>IF(code0="","",code0)</f>
        <v/>
      </c>
      <c r="H21" s="1023"/>
      <c r="I21" s="1023"/>
      <c r="J21" s="748"/>
      <c r="K21" s="1023" t="str">
        <f>IF(code1="","",code1)</f>
        <v/>
      </c>
      <c r="L21" s="1023"/>
      <c r="M21" s="1023"/>
      <c r="N21" s="748"/>
      <c r="O21" s="1023" t="str">
        <f>IF(code2="","",code2)</f>
        <v/>
      </c>
      <c r="P21" s="1023"/>
      <c r="Q21" s="1023"/>
      <c r="R21" s="748"/>
      <c r="S21" s="1023" t="str">
        <f>IF(code3="","",code3)</f>
        <v/>
      </c>
      <c r="T21" s="1023"/>
      <c r="U21" s="1023"/>
      <c r="V21" s="748"/>
      <c r="W21" s="1023" t="str">
        <f>IF(code4="","",code4)</f>
        <v/>
      </c>
      <c r="X21" s="1023"/>
      <c r="Y21" s="1023"/>
      <c r="Z21" s="748"/>
      <c r="AA21" s="1023" t="str">
        <f>IF(code5="","",code5)</f>
        <v/>
      </c>
      <c r="AB21" s="1023"/>
      <c r="AC21" s="1023"/>
      <c r="AD21" s="31"/>
      <c r="AE21" s="29"/>
      <c r="AF21" s="29"/>
      <c r="AG21" s="29"/>
      <c r="AH21" s="29"/>
    </row>
    <row r="22" spans="2:51" ht="15" customHeight="1">
      <c r="B22" s="33"/>
      <c r="C22" s="40" t="s">
        <v>209</v>
      </c>
      <c r="D22" s="47"/>
      <c r="E22" s="97"/>
      <c r="F22" s="97"/>
      <c r="G22" s="1022" t="str">
        <f>IF(code0="","",IF(name0="","noname",name0))</f>
        <v/>
      </c>
      <c r="H22" s="1022"/>
      <c r="I22" s="1022"/>
      <c r="J22" s="748"/>
      <c r="K22" s="1022" t="str">
        <f>IF(code1="","",IF(name1="","noname",name1))</f>
        <v/>
      </c>
      <c r="L22" s="1022"/>
      <c r="M22" s="1022"/>
      <c r="N22" s="748"/>
      <c r="O22" s="1022" t="str">
        <f>IF(code2="","",IF(name2="","noname",name2))</f>
        <v/>
      </c>
      <c r="P22" s="1022"/>
      <c r="Q22" s="1022"/>
      <c r="R22" s="748"/>
      <c r="S22" s="1022" t="str">
        <f>IF(code3="","",IF(name3="","noname",name3))</f>
        <v/>
      </c>
      <c r="T22" s="1022"/>
      <c r="U22" s="1022"/>
      <c r="V22" s="748"/>
      <c r="W22" s="1022" t="str">
        <f>IF(code4="","",IF(name4="","noname",name4))</f>
        <v/>
      </c>
      <c r="X22" s="1022"/>
      <c r="Y22" s="1022"/>
      <c r="Z22" s="748"/>
      <c r="AA22" s="1022" t="str">
        <f>IF(code5="","",IF(name5="","noname",name5))</f>
        <v/>
      </c>
      <c r="AB22" s="1022"/>
      <c r="AC22" s="1022"/>
      <c r="AD22" s="31"/>
      <c r="AE22" s="29"/>
      <c r="AF22" s="29"/>
      <c r="AG22" s="29"/>
      <c r="AH22" s="29"/>
    </row>
    <row r="23" spans="2:51" ht="32.25" customHeight="1">
      <c r="B23" s="33"/>
      <c r="C23" s="29"/>
      <c r="D23" s="47"/>
      <c r="E23" s="27"/>
      <c r="F23" s="27"/>
      <c r="G23" s="749" t="s">
        <v>20</v>
      </c>
      <c r="H23" s="739" t="s">
        <v>36</v>
      </c>
      <c r="I23" s="749" t="s">
        <v>17</v>
      </c>
      <c r="J23" s="748"/>
      <c r="K23" s="749" t="s">
        <v>20</v>
      </c>
      <c r="L23" s="739" t="s">
        <v>36</v>
      </c>
      <c r="M23" s="749" t="s">
        <v>17</v>
      </c>
      <c r="N23" s="748"/>
      <c r="O23" s="749" t="s">
        <v>20</v>
      </c>
      <c r="P23" s="739" t="s">
        <v>36</v>
      </c>
      <c r="Q23" s="749" t="s">
        <v>17</v>
      </c>
      <c r="R23" s="748"/>
      <c r="S23" s="749" t="s">
        <v>20</v>
      </c>
      <c r="T23" s="739" t="s">
        <v>36</v>
      </c>
      <c r="U23" s="749" t="s">
        <v>17</v>
      </c>
      <c r="V23" s="748"/>
      <c r="W23" s="749" t="s">
        <v>20</v>
      </c>
      <c r="X23" s="739" t="s">
        <v>36</v>
      </c>
      <c r="Y23" s="749" t="s">
        <v>17</v>
      </c>
      <c r="Z23" s="748"/>
      <c r="AA23" s="749" t="s">
        <v>20</v>
      </c>
      <c r="AB23" s="739" t="s">
        <v>36</v>
      </c>
      <c r="AC23" s="749" t="s">
        <v>17</v>
      </c>
      <c r="AD23" s="31"/>
      <c r="AE23" s="29"/>
      <c r="AF23" s="29"/>
      <c r="AG23" s="29"/>
      <c r="AH23" s="29"/>
    </row>
    <row r="24" spans="2:51" ht="20.100000000000001" customHeight="1">
      <c r="B24" s="30"/>
      <c r="C24" s="790" t="s">
        <v>211</v>
      </c>
      <c r="D24" s="47"/>
      <c r="E24" s="45"/>
      <c r="F24" s="372" t="s">
        <v>199</v>
      </c>
      <c r="G24" s="45"/>
      <c r="H24" s="45"/>
      <c r="I24" s="45"/>
      <c r="J24" s="45"/>
      <c r="K24" s="45"/>
      <c r="L24" s="45"/>
      <c r="M24" s="45"/>
      <c r="N24" s="45"/>
      <c r="O24" s="45"/>
      <c r="P24" s="45"/>
      <c r="Q24" s="45"/>
      <c r="R24" s="45"/>
      <c r="S24" s="45"/>
      <c r="T24" s="45"/>
      <c r="U24" s="45"/>
      <c r="V24" s="45"/>
      <c r="W24" s="45"/>
      <c r="X24" s="45"/>
      <c r="Y24" s="45"/>
      <c r="Z24" s="45"/>
      <c r="AA24" s="45"/>
      <c r="AB24" s="45"/>
      <c r="AC24" s="45"/>
      <c r="AD24" s="31"/>
      <c r="AE24" s="29"/>
      <c r="AF24" s="29"/>
      <c r="AG24" s="29"/>
      <c r="AH24" s="29"/>
    </row>
    <row r="25" spans="2:51" ht="45" customHeight="1">
      <c r="B25" s="33"/>
      <c r="C25" s="1020" t="s">
        <v>622</v>
      </c>
      <c r="D25" s="1020"/>
      <c r="E25" s="1020"/>
      <c r="F25" s="27"/>
      <c r="G25" s="559"/>
      <c r="H25" s="875"/>
      <c r="I25" s="559"/>
      <c r="J25" s="211"/>
      <c r="K25" s="743" t="str">
        <f>IF(OR($G25="",code0=""),"",$G25)</f>
        <v/>
      </c>
      <c r="L25" s="743" t="str">
        <f>IF(OR($H25="",code0=""),"",$H25)</f>
        <v/>
      </c>
      <c r="M25" s="743" t="str">
        <f>IF(OR($I25="",code0=""),"",$I25)</f>
        <v/>
      </c>
      <c r="N25" s="211"/>
      <c r="O25" s="743" t="str">
        <f>IF(OR($G25="",code2=""),"",$G25)</f>
        <v/>
      </c>
      <c r="P25" s="743" t="str">
        <f>IF(OR($H25="",code2=""),"",$H25)</f>
        <v/>
      </c>
      <c r="Q25" s="743" t="str">
        <f>IF(OR($I25="",code2=""),"",$I25)</f>
        <v/>
      </c>
      <c r="R25" s="211"/>
      <c r="S25" s="743" t="str">
        <f>IF(OR($G25="",code3=""),"",$G25)</f>
        <v/>
      </c>
      <c r="T25" s="743" t="str">
        <f>IF(OR($H25="",code3=""),"",$H25)</f>
        <v/>
      </c>
      <c r="U25" s="743" t="str">
        <f>IF(OR($I25="",code3=""),"",$I25)</f>
        <v/>
      </c>
      <c r="V25" s="211"/>
      <c r="W25" s="743" t="str">
        <f>IF(OR($G25="",code4=""),"",$G25)</f>
        <v/>
      </c>
      <c r="X25" s="743" t="str">
        <f>IF(OR($H25="",code4=""),"",$H25)</f>
        <v/>
      </c>
      <c r="Y25" s="743" t="str">
        <f>IF(OR($I25="",code4=""),"",$I25)</f>
        <v/>
      </c>
      <c r="Z25" s="211"/>
      <c r="AA25" s="743" t="str">
        <f>IF(OR($G25="",code5=""),"",$G25)</f>
        <v/>
      </c>
      <c r="AB25" s="743" t="str">
        <f>IF(OR($H25="",code5=""),"",$H25)</f>
        <v/>
      </c>
      <c r="AC25" s="743" t="str">
        <f>IF(OR($I25="",code5=""),"",$I25)</f>
        <v/>
      </c>
      <c r="AD25" s="31"/>
      <c r="AE25" s="29"/>
      <c r="AF25" s="29"/>
      <c r="AG25" s="29"/>
      <c r="AH25" s="29"/>
    </row>
    <row r="26" spans="2:51" ht="30" customHeight="1">
      <c r="B26" s="33"/>
      <c r="C26" s="1005" t="s">
        <v>623</v>
      </c>
      <c r="D26" s="1005"/>
      <c r="E26" s="1005"/>
      <c r="F26" s="372" t="s">
        <v>199</v>
      </c>
      <c r="G26" s="165"/>
      <c r="H26" s="165"/>
      <c r="I26" s="165"/>
      <c r="J26" s="211"/>
      <c r="K26" s="678" t="str">
        <f>IF(G26="","",G26)</f>
        <v/>
      </c>
      <c r="L26" s="678" t="str">
        <f>IF(H26="","",H26)</f>
        <v/>
      </c>
      <c r="M26" s="678" t="str">
        <f>IF(I26="","",I26)</f>
        <v/>
      </c>
      <c r="N26" s="211"/>
      <c r="O26" s="678" t="str">
        <f>IF(K26="","",K26)</f>
        <v/>
      </c>
      <c r="P26" s="678" t="str">
        <f>IF(L26="","",L26)</f>
        <v/>
      </c>
      <c r="Q26" s="678" t="str">
        <f>IF(M26="","",M26)</f>
        <v/>
      </c>
      <c r="R26" s="211"/>
      <c r="S26" s="678" t="str">
        <f>IF(O26="","",O26)</f>
        <v/>
      </c>
      <c r="T26" s="678" t="str">
        <f>IF(P26="","",P26)</f>
        <v/>
      </c>
      <c r="U26" s="678" t="str">
        <f>IF(Q26="","",Q26)</f>
        <v/>
      </c>
      <c r="V26" s="211"/>
      <c r="W26" s="678" t="str">
        <f>IF(S26="","",S26)</f>
        <v/>
      </c>
      <c r="X26" s="678" t="str">
        <f>IF(T26="","",T26)</f>
        <v/>
      </c>
      <c r="Y26" s="678" t="str">
        <f>IF(U26="","",U26)</f>
        <v/>
      </c>
      <c r="Z26" s="211"/>
      <c r="AA26" s="678" t="str">
        <f>IF(W26="","",W26)</f>
        <v/>
      </c>
      <c r="AB26" s="678" t="str">
        <f>IF(X26="","",X26)</f>
        <v/>
      </c>
      <c r="AC26" s="678" t="str">
        <f>IF(Y26="","",Y26)</f>
        <v/>
      </c>
      <c r="AD26" s="31"/>
      <c r="AE26" s="29"/>
      <c r="AF26" s="29"/>
      <c r="AG26" s="29"/>
      <c r="AH26" s="29"/>
    </row>
    <row r="27" spans="2:51" ht="45" customHeight="1">
      <c r="B27" s="33"/>
      <c r="C27" s="40" t="s">
        <v>699</v>
      </c>
      <c r="D27" s="47"/>
      <c r="E27" s="27"/>
      <c r="F27" s="27"/>
      <c r="G27" s="782" t="str">
        <f>IF(G26="","",IF(G25&lt;&gt;"Other","! You chose an indicator and filled in another one. Only the latter will be considered. Make sure higher values mean better conditions","! Make sure higher values mean better conditions"))</f>
        <v/>
      </c>
      <c r="H27" s="782" t="str">
        <f>IF(H26="","",IF(H25&lt;&gt;"Other","! You chose an indicator and filled in another one. Only the latter will be considered. Make sure higher values mean better conditions","! Make sure higher values mean better conditions"))</f>
        <v/>
      </c>
      <c r="I27" s="782" t="str">
        <f>IF(I26="","",IF(I25&lt;&gt;"Other","! You chose an indicator and filled in another one. Only the latter will be considered. Make sure higher values mean worse conditions","! Make sure higher values mean worse conditions"))</f>
        <v/>
      </c>
      <c r="J27" s="129"/>
      <c r="K27" s="782"/>
      <c r="L27" s="782"/>
      <c r="M27" s="782"/>
      <c r="N27" s="129"/>
      <c r="O27" s="782"/>
      <c r="P27" s="782"/>
      <c r="Q27" s="782"/>
      <c r="R27" s="129"/>
      <c r="S27" s="782"/>
      <c r="T27" s="782"/>
      <c r="U27" s="782"/>
      <c r="V27" s="129"/>
      <c r="W27" s="782"/>
      <c r="X27" s="782"/>
      <c r="Y27" s="782"/>
      <c r="Z27" s="129"/>
      <c r="AA27" s="782"/>
      <c r="AB27" s="782"/>
      <c r="AC27" s="782"/>
      <c r="AD27" s="31"/>
      <c r="AE27" s="29"/>
      <c r="AF27" s="29"/>
      <c r="AG27" s="29"/>
      <c r="AH27" s="29"/>
    </row>
    <row r="28" spans="2:51" ht="16.5" customHeight="1">
      <c r="B28" s="34"/>
      <c r="C28" s="49" t="s">
        <v>193</v>
      </c>
      <c r="D28" s="49"/>
      <c r="E28" s="49"/>
      <c r="F28" s="49"/>
      <c r="G28" s="67"/>
      <c r="H28" s="67"/>
      <c r="I28" s="67"/>
      <c r="J28" s="67"/>
      <c r="K28" s="67"/>
      <c r="L28" s="67"/>
      <c r="M28" s="67"/>
      <c r="N28" s="67"/>
      <c r="O28" s="67"/>
      <c r="P28" s="67"/>
      <c r="Q28" s="67"/>
      <c r="R28" s="67"/>
      <c r="S28" s="67"/>
      <c r="T28" s="67"/>
      <c r="U28" s="67"/>
      <c r="V28" s="67"/>
      <c r="W28" s="67"/>
      <c r="X28" s="67"/>
      <c r="Y28" s="67"/>
      <c r="Z28" s="67"/>
      <c r="AA28" s="67"/>
      <c r="AB28" s="67"/>
      <c r="AC28" s="67"/>
      <c r="AD28" s="36"/>
      <c r="AE28" s="29"/>
      <c r="AF28" s="29"/>
      <c r="AG28" s="29"/>
      <c r="AH28" s="29"/>
    </row>
    <row r="29" spans="2:51" ht="15" customHeight="1">
      <c r="B29" s="34"/>
      <c r="C29" s="240" t="s">
        <v>13</v>
      </c>
      <c r="D29" s="49"/>
      <c r="E29" s="49"/>
      <c r="F29" s="49"/>
      <c r="G29" s="67"/>
      <c r="H29" s="67"/>
      <c r="I29" s="67"/>
      <c r="J29" s="67"/>
      <c r="K29" s="67"/>
      <c r="L29" s="67"/>
      <c r="M29" s="67"/>
      <c r="N29" s="67"/>
      <c r="O29" s="67"/>
      <c r="P29" s="67"/>
      <c r="Q29" s="67"/>
      <c r="R29" s="67"/>
      <c r="S29" s="67"/>
      <c r="T29" s="67"/>
      <c r="U29" s="67"/>
      <c r="V29" s="67"/>
      <c r="W29" s="67"/>
      <c r="X29" s="67"/>
      <c r="Y29" s="67"/>
      <c r="Z29" s="67"/>
      <c r="AA29" s="67"/>
      <c r="AB29" s="67"/>
      <c r="AC29" s="67"/>
      <c r="AD29" s="36"/>
      <c r="AE29" s="29"/>
      <c r="AF29" s="29"/>
      <c r="AG29" s="29"/>
      <c r="AH29" s="29"/>
    </row>
    <row r="30" spans="2:51" ht="15" customHeight="1">
      <c r="B30" s="30"/>
      <c r="C30" s="29"/>
      <c r="D30" s="47" t="s">
        <v>251</v>
      </c>
      <c r="E30" s="45"/>
      <c r="F30" s="45"/>
      <c r="G30" s="113"/>
      <c r="H30" s="113"/>
      <c r="I30" s="113"/>
      <c r="J30" s="211"/>
      <c r="K30" s="113"/>
      <c r="L30" s="113"/>
      <c r="M30" s="113"/>
      <c r="N30" s="211"/>
      <c r="O30" s="113"/>
      <c r="P30" s="113"/>
      <c r="Q30" s="113"/>
      <c r="R30" s="211"/>
      <c r="S30" s="113"/>
      <c r="T30" s="113"/>
      <c r="U30" s="113"/>
      <c r="V30" s="211"/>
      <c r="W30" s="113"/>
      <c r="X30" s="113"/>
      <c r="Y30" s="113"/>
      <c r="Z30" s="211"/>
      <c r="AA30" s="113"/>
      <c r="AB30" s="113"/>
      <c r="AC30" s="113"/>
      <c r="AD30" s="31"/>
      <c r="AE30" s="29"/>
      <c r="AF30" s="29"/>
      <c r="AG30" s="29"/>
      <c r="AH30" s="29"/>
    </row>
    <row r="31" spans="2:51" ht="15" customHeight="1">
      <c r="B31" s="30"/>
      <c r="C31" s="29"/>
      <c r="D31" s="47" t="s">
        <v>266</v>
      </c>
      <c r="E31" s="45"/>
      <c r="F31" s="45"/>
      <c r="G31" s="113"/>
      <c r="H31" s="113"/>
      <c r="I31" s="113"/>
      <c r="J31" s="211"/>
      <c r="K31" s="113"/>
      <c r="L31" s="113"/>
      <c r="M31" s="113"/>
      <c r="N31" s="211"/>
      <c r="O31" s="113"/>
      <c r="P31" s="113"/>
      <c r="Q31" s="113"/>
      <c r="R31" s="211"/>
      <c r="S31" s="113"/>
      <c r="T31" s="113"/>
      <c r="U31" s="113"/>
      <c r="V31" s="211"/>
      <c r="W31" s="113"/>
      <c r="X31" s="113"/>
      <c r="Y31" s="113"/>
      <c r="Z31" s="211"/>
      <c r="AA31" s="113"/>
      <c r="AB31" s="113"/>
      <c r="AC31" s="113"/>
      <c r="AD31" s="31"/>
      <c r="AE31" s="29"/>
      <c r="AF31" s="29"/>
      <c r="AG31" s="29"/>
      <c r="AH31" s="29"/>
    </row>
    <row r="32" spans="2:51" ht="15" customHeight="1">
      <c r="B32" s="30"/>
      <c r="C32" s="29"/>
      <c r="D32" s="47" t="s">
        <v>267</v>
      </c>
      <c r="E32" s="45"/>
      <c r="F32" s="45"/>
      <c r="G32" s="113"/>
      <c r="H32" s="113"/>
      <c r="I32" s="113"/>
      <c r="J32" s="211"/>
      <c r="K32" s="113"/>
      <c r="L32" s="113"/>
      <c r="M32" s="113"/>
      <c r="N32" s="211"/>
      <c r="O32" s="113"/>
      <c r="P32" s="113"/>
      <c r="Q32" s="113"/>
      <c r="R32" s="211"/>
      <c r="S32" s="113"/>
      <c r="T32" s="113"/>
      <c r="U32" s="113"/>
      <c r="V32" s="211"/>
      <c r="W32" s="113"/>
      <c r="X32" s="113"/>
      <c r="Y32" s="113"/>
      <c r="Z32" s="211"/>
      <c r="AA32" s="113"/>
      <c r="AB32" s="113"/>
      <c r="AC32" s="113"/>
      <c r="AD32" s="31"/>
      <c r="AE32" s="29"/>
      <c r="AF32" s="29"/>
      <c r="AG32" s="29"/>
      <c r="AH32" s="29"/>
    </row>
    <row r="33" spans="2:34" ht="15" customHeight="1">
      <c r="B33" s="30"/>
      <c r="C33" s="29"/>
      <c r="D33" s="47" t="s">
        <v>250</v>
      </c>
      <c r="E33" s="45"/>
      <c r="F33" s="45"/>
      <c r="G33" s="113"/>
      <c r="H33" s="113"/>
      <c r="I33" s="113"/>
      <c r="J33" s="211"/>
      <c r="K33" s="113"/>
      <c r="L33" s="113"/>
      <c r="M33" s="113"/>
      <c r="N33" s="211"/>
      <c r="O33" s="113"/>
      <c r="P33" s="113"/>
      <c r="Q33" s="113"/>
      <c r="R33" s="211"/>
      <c r="S33" s="113"/>
      <c r="T33" s="113"/>
      <c r="U33" s="113"/>
      <c r="V33" s="211"/>
      <c r="W33" s="113"/>
      <c r="X33" s="113"/>
      <c r="Y33" s="113"/>
      <c r="Z33" s="211"/>
      <c r="AA33" s="113"/>
      <c r="AB33" s="113"/>
      <c r="AC33" s="113"/>
      <c r="AD33" s="31"/>
      <c r="AE33" s="29"/>
      <c r="AF33" s="29"/>
      <c r="AG33" s="29"/>
      <c r="AH33" s="29"/>
    </row>
    <row r="34" spans="2:34" ht="15" customHeight="1">
      <c r="B34" s="30"/>
      <c r="C34" s="29"/>
      <c r="D34" s="47" t="s">
        <v>249</v>
      </c>
      <c r="E34" s="45"/>
      <c r="F34" s="45"/>
      <c r="G34" s="113"/>
      <c r="H34" s="113"/>
      <c r="I34" s="113"/>
      <c r="J34" s="211"/>
      <c r="K34" s="113"/>
      <c r="L34" s="113"/>
      <c r="M34" s="113"/>
      <c r="N34" s="211"/>
      <c r="O34" s="113"/>
      <c r="P34" s="113"/>
      <c r="Q34" s="113"/>
      <c r="R34" s="211"/>
      <c r="S34" s="113"/>
      <c r="T34" s="113"/>
      <c r="U34" s="113"/>
      <c r="V34" s="211"/>
      <c r="W34" s="113"/>
      <c r="X34" s="113"/>
      <c r="Y34" s="113"/>
      <c r="Z34" s="211"/>
      <c r="AA34" s="113"/>
      <c r="AB34" s="113"/>
      <c r="AC34" s="113"/>
      <c r="AD34" s="31"/>
      <c r="AE34" s="29"/>
      <c r="AF34" s="29"/>
      <c r="AG34" s="29"/>
      <c r="AH34" s="29"/>
    </row>
    <row r="35" spans="2:34" ht="15" customHeight="1">
      <c r="B35" s="30"/>
      <c r="C35" s="29"/>
      <c r="D35" s="47" t="s">
        <v>254</v>
      </c>
      <c r="E35" s="45"/>
      <c r="F35" s="45"/>
      <c r="G35" s="113"/>
      <c r="H35" s="113"/>
      <c r="I35" s="113"/>
      <c r="J35" s="211"/>
      <c r="K35" s="113"/>
      <c r="L35" s="113"/>
      <c r="M35" s="113"/>
      <c r="N35" s="211"/>
      <c r="O35" s="113"/>
      <c r="P35" s="113"/>
      <c r="Q35" s="113"/>
      <c r="R35" s="211"/>
      <c r="S35" s="113"/>
      <c r="T35" s="113"/>
      <c r="U35" s="113"/>
      <c r="V35" s="211"/>
      <c r="W35" s="113"/>
      <c r="X35" s="113"/>
      <c r="Y35" s="113"/>
      <c r="Z35" s="211"/>
      <c r="AA35" s="113"/>
      <c r="AB35" s="113"/>
      <c r="AC35" s="113"/>
      <c r="AD35" s="31"/>
      <c r="AE35" s="29"/>
      <c r="AF35" s="29"/>
      <c r="AG35" s="29"/>
      <c r="AH35" s="29"/>
    </row>
    <row r="36" spans="2:34" ht="15" customHeight="1">
      <c r="B36" s="30"/>
      <c r="C36" s="29"/>
      <c r="D36" s="47" t="s">
        <v>248</v>
      </c>
      <c r="E36" s="45"/>
      <c r="F36" s="45"/>
      <c r="G36" s="113"/>
      <c r="H36" s="113"/>
      <c r="I36" s="113"/>
      <c r="J36" s="211"/>
      <c r="K36" s="113"/>
      <c r="L36" s="113"/>
      <c r="M36" s="113"/>
      <c r="N36" s="211"/>
      <c r="O36" s="113"/>
      <c r="P36" s="113"/>
      <c r="Q36" s="113"/>
      <c r="R36" s="211"/>
      <c r="S36" s="113"/>
      <c r="T36" s="113"/>
      <c r="U36" s="113"/>
      <c r="V36" s="211"/>
      <c r="W36" s="113"/>
      <c r="X36" s="113"/>
      <c r="Y36" s="113"/>
      <c r="Z36" s="211"/>
      <c r="AA36" s="113"/>
      <c r="AB36" s="113"/>
      <c r="AC36" s="113"/>
      <c r="AD36" s="31"/>
      <c r="AE36" s="29"/>
      <c r="AF36" s="29"/>
      <c r="AG36" s="29"/>
      <c r="AH36" s="29"/>
    </row>
    <row r="37" spans="2:34" ht="15" customHeight="1">
      <c r="B37" s="30"/>
      <c r="C37" s="29"/>
      <c r="D37" s="47" t="s">
        <v>268</v>
      </c>
      <c r="E37" s="45"/>
      <c r="F37" s="45"/>
      <c r="G37" s="113"/>
      <c r="H37" s="113"/>
      <c r="I37" s="113"/>
      <c r="J37" s="211"/>
      <c r="K37" s="113"/>
      <c r="L37" s="113"/>
      <c r="M37" s="113"/>
      <c r="N37" s="211"/>
      <c r="O37" s="113"/>
      <c r="P37" s="113"/>
      <c r="Q37" s="113"/>
      <c r="R37" s="211"/>
      <c r="S37" s="113"/>
      <c r="T37" s="113"/>
      <c r="U37" s="113"/>
      <c r="V37" s="211"/>
      <c r="W37" s="113"/>
      <c r="X37" s="113"/>
      <c r="Y37" s="113"/>
      <c r="Z37" s="211"/>
      <c r="AA37" s="113"/>
      <c r="AB37" s="113"/>
      <c r="AC37" s="113"/>
      <c r="AD37" s="31"/>
      <c r="AE37" s="29"/>
      <c r="AF37" s="29"/>
      <c r="AG37" s="29"/>
      <c r="AH37" s="29"/>
    </row>
    <row r="38" spans="2:34" ht="15" customHeight="1">
      <c r="B38" s="30"/>
      <c r="C38" s="29"/>
      <c r="D38" s="47"/>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31"/>
      <c r="AE38" s="29"/>
      <c r="AF38" s="29"/>
      <c r="AG38" s="29"/>
      <c r="AH38" s="29"/>
    </row>
    <row r="39" spans="2:34" ht="32.25" customHeight="1">
      <c r="B39" s="33"/>
      <c r="C39" s="29"/>
      <c r="D39" s="47"/>
      <c r="E39" s="27"/>
      <c r="F39" s="27"/>
      <c r="G39" s="738" t="s">
        <v>20</v>
      </c>
      <c r="H39" s="757" t="s">
        <v>36</v>
      </c>
      <c r="I39" s="738" t="s">
        <v>17</v>
      </c>
      <c r="J39" s="748"/>
      <c r="K39" s="738" t="s">
        <v>20</v>
      </c>
      <c r="L39" s="757" t="s">
        <v>36</v>
      </c>
      <c r="M39" s="738" t="s">
        <v>17</v>
      </c>
      <c r="N39" s="748"/>
      <c r="O39" s="738" t="s">
        <v>20</v>
      </c>
      <c r="P39" s="757" t="s">
        <v>36</v>
      </c>
      <c r="Q39" s="738" t="s">
        <v>17</v>
      </c>
      <c r="R39" s="748"/>
      <c r="S39" s="738" t="s">
        <v>20</v>
      </c>
      <c r="T39" s="757" t="s">
        <v>36</v>
      </c>
      <c r="U39" s="738" t="s">
        <v>17</v>
      </c>
      <c r="V39" s="748"/>
      <c r="W39" s="738" t="s">
        <v>20</v>
      </c>
      <c r="X39" s="757" t="s">
        <v>36</v>
      </c>
      <c r="Y39" s="738" t="s">
        <v>17</v>
      </c>
      <c r="Z39" s="748"/>
      <c r="AA39" s="738" t="s">
        <v>20</v>
      </c>
      <c r="AB39" s="757" t="s">
        <v>36</v>
      </c>
      <c r="AC39" s="738" t="s">
        <v>17</v>
      </c>
      <c r="AD39" s="31"/>
      <c r="AE39" s="29"/>
      <c r="AF39" s="29"/>
      <c r="AG39" s="29"/>
      <c r="AH39" s="29"/>
    </row>
    <row r="40" spans="2:34" ht="20.100000000000001" customHeight="1">
      <c r="B40" s="30"/>
      <c r="C40" s="790" t="s">
        <v>210</v>
      </c>
      <c r="D40" s="47"/>
      <c r="E40" s="45"/>
      <c r="F40" s="372" t="s">
        <v>199</v>
      </c>
      <c r="G40" s="45"/>
      <c r="H40" s="45"/>
      <c r="I40" s="45"/>
      <c r="J40" s="45"/>
      <c r="K40" s="45"/>
      <c r="L40" s="45"/>
      <c r="M40" s="45"/>
      <c r="N40" s="45"/>
      <c r="O40" s="45"/>
      <c r="P40" s="45"/>
      <c r="Q40" s="45"/>
      <c r="R40" s="45"/>
      <c r="S40" s="45"/>
      <c r="T40" s="45"/>
      <c r="U40" s="45"/>
      <c r="V40" s="45"/>
      <c r="W40" s="45"/>
      <c r="X40" s="45"/>
      <c r="Y40" s="45"/>
      <c r="Z40" s="45"/>
      <c r="AA40" s="45"/>
      <c r="AB40" s="45"/>
      <c r="AC40" s="45"/>
      <c r="AD40" s="31"/>
      <c r="AE40" s="29"/>
      <c r="AF40" s="29"/>
      <c r="AG40" s="29"/>
      <c r="AH40" s="29"/>
    </row>
    <row r="41" spans="2:34" ht="45" customHeight="1">
      <c r="B41" s="33"/>
      <c r="C41" s="1020" t="s">
        <v>622</v>
      </c>
      <c r="D41" s="1020"/>
      <c r="E41" s="1020"/>
      <c r="F41" s="27"/>
      <c r="G41" s="559"/>
      <c r="H41" s="559"/>
      <c r="I41" s="559"/>
      <c r="J41" s="211"/>
      <c r="K41" s="743" t="str">
        <f>IF(OR($G41="",code0=""),"",$G41)</f>
        <v/>
      </c>
      <c r="L41" s="743" t="str">
        <f>IF(OR($H41="",code0=""),"",$H41)</f>
        <v/>
      </c>
      <c r="M41" s="743" t="str">
        <f>IF(OR($I41="",code0=""),"",$I41)</f>
        <v/>
      </c>
      <c r="N41" s="211"/>
      <c r="O41" s="743" t="str">
        <f>IF(OR($G41="",code2=""),"",$G41)</f>
        <v/>
      </c>
      <c r="P41" s="743" t="str">
        <f>IF(OR($H41="",code2=""),"",$H41)</f>
        <v/>
      </c>
      <c r="Q41" s="743" t="str">
        <f>IF(OR($I41="",code2=""),"",$I41)</f>
        <v/>
      </c>
      <c r="R41" s="211"/>
      <c r="S41" s="743" t="str">
        <f>IF(OR($G41="",code3=""),"",$G41)</f>
        <v/>
      </c>
      <c r="T41" s="743" t="str">
        <f>IF(OR($H41="",code3=""),"",$H41)</f>
        <v/>
      </c>
      <c r="U41" s="743" t="str">
        <f>IF(OR($I41="",code3=""),"",$I41)</f>
        <v/>
      </c>
      <c r="V41" s="211"/>
      <c r="W41" s="743" t="str">
        <f>IF(OR($G41="",code4=""),"",$G41)</f>
        <v/>
      </c>
      <c r="X41" s="743" t="str">
        <f>IF(OR($H41="",code4=""),"",$H41)</f>
        <v/>
      </c>
      <c r="Y41" s="743" t="str">
        <f>IF(OR($I41="",code4=""),"",$I41)</f>
        <v/>
      </c>
      <c r="Z41" s="211"/>
      <c r="AA41" s="743" t="str">
        <f>IF(OR($G41="",code5=""),"",$G41)</f>
        <v/>
      </c>
      <c r="AB41" s="743" t="str">
        <f>IF(OR($H41="",code5=""),"",$H41)</f>
        <v/>
      </c>
      <c r="AC41" s="743" t="str">
        <f>IF(OR($I41="",code5=""),"",$I41)</f>
        <v/>
      </c>
      <c r="AD41" s="31"/>
      <c r="AE41" s="29"/>
      <c r="AF41" s="29"/>
      <c r="AG41" s="29"/>
      <c r="AH41" s="29"/>
    </row>
    <row r="42" spans="2:34" ht="30" customHeight="1">
      <c r="B42" s="33"/>
      <c r="C42" s="1005" t="s">
        <v>623</v>
      </c>
      <c r="D42" s="1005"/>
      <c r="E42" s="1005"/>
      <c r="F42" s="372" t="s">
        <v>199</v>
      </c>
      <c r="G42" s="165"/>
      <c r="H42" s="165"/>
      <c r="I42" s="165"/>
      <c r="J42" s="211"/>
      <c r="K42" s="678" t="str">
        <f>IF(G42="","",G42)</f>
        <v/>
      </c>
      <c r="L42" s="678" t="str">
        <f>IF(H42="","",H42)</f>
        <v/>
      </c>
      <c r="M42" s="678" t="str">
        <f>IF(I42="","",I42)</f>
        <v/>
      </c>
      <c r="N42" s="211"/>
      <c r="O42" s="678" t="str">
        <f>IF(K42="","",K42)</f>
        <v/>
      </c>
      <c r="P42" s="678" t="str">
        <f>IF(L42="","",L42)</f>
        <v/>
      </c>
      <c r="Q42" s="678" t="str">
        <f>IF(M42="","",M42)</f>
        <v/>
      </c>
      <c r="R42" s="211"/>
      <c r="S42" s="678" t="str">
        <f>IF(O42="","",O42)</f>
        <v/>
      </c>
      <c r="T42" s="678" t="str">
        <f>IF(P42="","",P42)</f>
        <v/>
      </c>
      <c r="U42" s="678" t="str">
        <f>IF(Q42="","",Q42)</f>
        <v/>
      </c>
      <c r="V42" s="211"/>
      <c r="W42" s="678" t="str">
        <f>IF(S42="","",S42)</f>
        <v/>
      </c>
      <c r="X42" s="678" t="str">
        <f>IF(T42="","",T42)</f>
        <v/>
      </c>
      <c r="Y42" s="678" t="str">
        <f>IF(U42="","",U42)</f>
        <v/>
      </c>
      <c r="Z42" s="211"/>
      <c r="AA42" s="678" t="str">
        <f>IF(W42="","",W42)</f>
        <v/>
      </c>
      <c r="AB42" s="678" t="str">
        <f>IF(X42="","",X42)</f>
        <v/>
      </c>
      <c r="AC42" s="678" t="str">
        <f>IF(Y42="","",Y42)</f>
        <v/>
      </c>
      <c r="AD42" s="31"/>
      <c r="AE42" s="29"/>
      <c r="AF42" s="29"/>
      <c r="AG42" s="29"/>
      <c r="AH42" s="29"/>
    </row>
    <row r="43" spans="2:34" ht="45" customHeight="1">
      <c r="B43" s="33"/>
      <c r="C43" s="40" t="s">
        <v>699</v>
      </c>
      <c r="D43" s="744"/>
      <c r="E43" s="744"/>
      <c r="F43" s="27"/>
      <c r="G43" s="782" t="str">
        <f>IF(G42="","",IF(G41&lt;&gt;"Other","! You chose an indicator and filled in another one. Only the latter will be considered. Make sure higher values mean better conditions","! Make sure higher values mean better conditions"))</f>
        <v/>
      </c>
      <c r="H43" s="782" t="str">
        <f>IF(H42="","",IF(H41&lt;&gt;"Other","! You chose an indicator and filled in another one. Only the latter will be considered. Make sure higher values mean better conditions","! Make sure higher values mean better conditions"))</f>
        <v/>
      </c>
      <c r="I43" s="782" t="str">
        <f>IF(I42="","",IF(I41&lt;&gt;"Other","! You chose an indicator and filled in another one. Only the latter will be considered. Make sure higher values mean worse conditions","! Make sure higher values mean worse conditions"))</f>
        <v/>
      </c>
      <c r="J43" s="211"/>
      <c r="K43" s="743"/>
      <c r="L43" s="743"/>
      <c r="M43" s="743"/>
      <c r="N43" s="211"/>
      <c r="O43" s="743"/>
      <c r="P43" s="743"/>
      <c r="Q43" s="743"/>
      <c r="R43" s="211"/>
      <c r="S43" s="743"/>
      <c r="T43" s="743"/>
      <c r="U43" s="743"/>
      <c r="V43" s="211"/>
      <c r="W43" s="743"/>
      <c r="X43" s="743"/>
      <c r="Y43" s="743"/>
      <c r="Z43" s="211"/>
      <c r="AA43" s="743"/>
      <c r="AB43" s="743"/>
      <c r="AC43" s="743"/>
      <c r="AD43" s="31"/>
      <c r="AE43" s="29"/>
      <c r="AF43" s="29"/>
      <c r="AG43" s="29"/>
      <c r="AH43" s="29"/>
    </row>
    <row r="44" spans="2:34" ht="16.5" customHeight="1">
      <c r="B44" s="34"/>
      <c r="C44" s="49" t="s">
        <v>193</v>
      </c>
      <c r="D44" s="49"/>
      <c r="E44" s="49"/>
      <c r="F44" s="49"/>
      <c r="G44" s="67"/>
      <c r="H44" s="67"/>
      <c r="I44" s="67"/>
      <c r="J44" s="67"/>
      <c r="K44" s="67"/>
      <c r="L44" s="67"/>
      <c r="M44" s="67"/>
      <c r="N44" s="67"/>
      <c r="O44" s="67"/>
      <c r="P44" s="67"/>
      <c r="Q44" s="67"/>
      <c r="R44" s="67"/>
      <c r="S44" s="67"/>
      <c r="T44" s="67"/>
      <c r="U44" s="67"/>
      <c r="V44" s="67"/>
      <c r="W44" s="67"/>
      <c r="X44" s="67"/>
      <c r="Y44" s="67"/>
      <c r="Z44" s="67"/>
      <c r="AA44" s="67"/>
      <c r="AB44" s="67"/>
      <c r="AC44" s="67"/>
      <c r="AD44" s="36"/>
      <c r="AE44" s="29"/>
      <c r="AF44" s="29"/>
      <c r="AG44" s="29"/>
      <c r="AH44" s="29"/>
    </row>
    <row r="45" spans="2:34" ht="8.25" customHeight="1">
      <c r="B45" s="34"/>
      <c r="C45" s="240" t="s">
        <v>13</v>
      </c>
      <c r="D45" s="49"/>
      <c r="E45" s="49"/>
      <c r="F45" s="49"/>
      <c r="G45" s="67"/>
      <c r="H45" s="67"/>
      <c r="I45" s="67"/>
      <c r="J45" s="67"/>
      <c r="K45" s="67"/>
      <c r="L45" s="67"/>
      <c r="M45" s="67"/>
      <c r="N45" s="67"/>
      <c r="O45" s="67"/>
      <c r="P45" s="67"/>
      <c r="Q45" s="67"/>
      <c r="R45" s="67"/>
      <c r="S45" s="67"/>
      <c r="T45" s="67"/>
      <c r="U45" s="67"/>
      <c r="V45" s="67"/>
      <c r="W45" s="67"/>
      <c r="X45" s="67"/>
      <c r="Y45" s="67"/>
      <c r="Z45" s="67"/>
      <c r="AA45" s="67"/>
      <c r="AB45" s="67"/>
      <c r="AC45" s="67"/>
      <c r="AD45" s="36"/>
      <c r="AE45" s="29"/>
      <c r="AF45" s="29"/>
      <c r="AG45" s="29"/>
      <c r="AH45" s="29"/>
    </row>
    <row r="46" spans="2:34" ht="15" customHeight="1">
      <c r="B46" s="30"/>
      <c r="C46" s="27"/>
      <c r="D46" s="47" t="s">
        <v>262</v>
      </c>
      <c r="E46" s="27"/>
      <c r="F46" s="27"/>
      <c r="G46" s="113"/>
      <c r="H46" s="113"/>
      <c r="I46" s="113"/>
      <c r="J46" s="211"/>
      <c r="K46" s="113"/>
      <c r="L46" s="113"/>
      <c r="M46" s="113"/>
      <c r="N46" s="211"/>
      <c r="O46" s="113"/>
      <c r="P46" s="113"/>
      <c r="Q46" s="113"/>
      <c r="R46" s="211"/>
      <c r="S46" s="113"/>
      <c r="T46" s="113"/>
      <c r="U46" s="113"/>
      <c r="V46" s="211"/>
      <c r="W46" s="113"/>
      <c r="X46" s="113"/>
      <c r="Y46" s="113"/>
      <c r="Z46" s="211"/>
      <c r="AA46" s="113"/>
      <c r="AB46" s="113"/>
      <c r="AC46" s="113"/>
      <c r="AD46" s="31"/>
      <c r="AE46" s="29"/>
      <c r="AF46" s="29"/>
      <c r="AG46" s="29"/>
      <c r="AH46" s="29"/>
    </row>
    <row r="47" spans="2:34" ht="15" customHeight="1">
      <c r="B47" s="30"/>
      <c r="C47" s="27"/>
      <c r="D47" s="47" t="s">
        <v>263</v>
      </c>
      <c r="E47" s="27"/>
      <c r="F47" s="27"/>
      <c r="G47" s="113"/>
      <c r="H47" s="113"/>
      <c r="I47" s="113"/>
      <c r="J47" s="211"/>
      <c r="K47" s="113"/>
      <c r="L47" s="113"/>
      <c r="M47" s="113"/>
      <c r="N47" s="211"/>
      <c r="O47" s="113"/>
      <c r="P47" s="113"/>
      <c r="Q47" s="113"/>
      <c r="R47" s="211"/>
      <c r="S47" s="113"/>
      <c r="T47" s="113"/>
      <c r="U47" s="113"/>
      <c r="V47" s="211"/>
      <c r="W47" s="113"/>
      <c r="X47" s="113"/>
      <c r="Y47" s="113"/>
      <c r="Z47" s="211"/>
      <c r="AA47" s="113"/>
      <c r="AB47" s="113"/>
      <c r="AC47" s="113"/>
      <c r="AD47" s="31"/>
      <c r="AE47" s="29"/>
      <c r="AF47" s="29"/>
      <c r="AG47" s="29"/>
      <c r="AH47" s="29"/>
    </row>
    <row r="48" spans="2:34" ht="15" customHeight="1">
      <c r="B48" s="30"/>
      <c r="C48" s="27"/>
      <c r="D48" s="47" t="s">
        <v>264</v>
      </c>
      <c r="E48" s="27"/>
      <c r="F48" s="27"/>
      <c r="G48" s="113"/>
      <c r="H48" s="113"/>
      <c r="I48" s="113"/>
      <c r="J48" s="211"/>
      <c r="K48" s="113"/>
      <c r="L48" s="113"/>
      <c r="M48" s="113"/>
      <c r="N48" s="211"/>
      <c r="O48" s="113"/>
      <c r="P48" s="113"/>
      <c r="Q48" s="113"/>
      <c r="R48" s="211"/>
      <c r="S48" s="113"/>
      <c r="T48" s="113"/>
      <c r="U48" s="113"/>
      <c r="V48" s="211"/>
      <c r="W48" s="113"/>
      <c r="X48" s="113"/>
      <c r="Y48" s="113"/>
      <c r="Z48" s="211"/>
      <c r="AA48" s="113"/>
      <c r="AB48" s="113"/>
      <c r="AC48" s="113"/>
      <c r="AD48" s="31"/>
      <c r="AE48" s="29"/>
      <c r="AF48" s="29"/>
      <c r="AG48" s="29"/>
      <c r="AH48" s="29"/>
    </row>
    <row r="49" spans="2:34" ht="15" customHeight="1">
      <c r="B49" s="30"/>
      <c r="C49" s="2"/>
      <c r="D49" s="13" t="s">
        <v>265</v>
      </c>
      <c r="E49" s="2"/>
      <c r="F49" s="2"/>
      <c r="G49" s="791"/>
      <c r="H49" s="791"/>
      <c r="I49" s="791"/>
      <c r="J49" s="199"/>
      <c r="K49" s="791"/>
      <c r="L49" s="791"/>
      <c r="M49" s="791"/>
      <c r="N49" s="199"/>
      <c r="O49" s="791"/>
      <c r="P49" s="791"/>
      <c r="Q49" s="791"/>
      <c r="R49" s="199"/>
      <c r="S49" s="791"/>
      <c r="T49" s="791"/>
      <c r="U49" s="791"/>
      <c r="V49" s="199"/>
      <c r="W49" s="791"/>
      <c r="X49" s="791"/>
      <c r="Y49" s="791"/>
      <c r="Z49" s="199"/>
      <c r="AA49" s="791"/>
      <c r="AB49" s="791"/>
      <c r="AC49" s="791"/>
      <c r="AD49" s="31"/>
      <c r="AE49" s="29"/>
      <c r="AF49" s="29"/>
      <c r="AG49" s="29"/>
      <c r="AH49" s="29"/>
    </row>
    <row r="50" spans="2:34" ht="15" customHeight="1" thickBot="1">
      <c r="B50" s="37"/>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9"/>
    </row>
    <row r="51" spans="2:34" ht="15" customHeight="1"/>
    <row r="52" spans="2:34" ht="15" hidden="1" customHeight="1"/>
  </sheetData>
  <mergeCells count="23">
    <mergeCell ref="S21:U21"/>
    <mergeCell ref="W21:Y21"/>
    <mergeCell ref="AA21:AC21"/>
    <mergeCell ref="AA20:AC20"/>
    <mergeCell ref="G20:I20"/>
    <mergeCell ref="K20:M20"/>
    <mergeCell ref="O20:Q20"/>
    <mergeCell ref="S20:U20"/>
    <mergeCell ref="W20:Y20"/>
    <mergeCell ref="G21:I21"/>
    <mergeCell ref="K21:M21"/>
    <mergeCell ref="O21:Q21"/>
    <mergeCell ref="AA22:AC22"/>
    <mergeCell ref="G22:I22"/>
    <mergeCell ref="K22:M22"/>
    <mergeCell ref="O22:Q22"/>
    <mergeCell ref="S22:U22"/>
    <mergeCell ref="W22:Y22"/>
    <mergeCell ref="C42:E42"/>
    <mergeCell ref="D7:K8"/>
    <mergeCell ref="C25:E25"/>
    <mergeCell ref="C41:E41"/>
    <mergeCell ref="C26:E26"/>
  </mergeCells>
  <dataValidations count="7">
    <dataValidation type="list" allowBlank="1" showInputMessage="1" showErrorMessage="1" sqref="G41">
      <formula1>list3_person_number</formula1>
    </dataValidation>
    <dataValidation type="list" allowBlank="1" showInputMessage="1" showErrorMessage="1" sqref="H41">
      <formula1>list3_person_duration</formula1>
    </dataValidation>
    <dataValidation type="list" allowBlank="1" showInputMessage="1" showErrorMessage="1" sqref="I41">
      <formula1>list3_person_quality</formula1>
    </dataValidation>
    <dataValidation type="list" allowBlank="1" showInputMessage="1" showErrorMessage="1" sqref="G25">
      <formula1>list3_vehicle_number</formula1>
    </dataValidation>
    <dataValidation type="list" allowBlank="1" showInputMessage="1" showErrorMessage="1" sqref="H25">
      <formula1>list3_vehicle_duration</formula1>
    </dataValidation>
    <dataValidation type="list" allowBlank="1" showInputMessage="1" showErrorMessage="1" sqref="I25">
      <formula1>list3_vehicle_quality</formula1>
    </dataValidation>
    <dataValidation type="decimal" operator="greaterThanOrEqual" allowBlank="1" showInputMessage="1" showErrorMessage="1" error="Value should be &gt;=0" sqref="G30:I37 K30:M37 O30:Q37 S30:U37 W30:Y37 AA30:AC37 G46:I49 K46:M49 O46:Q49 S46:U49 W46:Y49 AA46:AC49">
      <formula1>0</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tabColor rgb="FFFFFF00"/>
  </sheetPr>
  <dimension ref="A1:BP51"/>
  <sheetViews>
    <sheetView zoomScale="70" zoomScaleNormal="70" workbookViewId="0"/>
  </sheetViews>
  <sheetFormatPr defaultColWidth="0" defaultRowHeight="0" customHeight="1" zeroHeight="1"/>
  <cols>
    <col min="1" max="1" width="3.85546875" style="28" customWidth="1"/>
    <col min="2" max="2" width="2.42578125" style="28" customWidth="1"/>
    <col min="3" max="3" width="3.28515625" style="28" customWidth="1"/>
    <col min="4" max="4" width="10.5703125" style="28" customWidth="1"/>
    <col min="5" max="5" width="20.140625" style="28" customWidth="1"/>
    <col min="6" max="6" width="3.7109375" style="28" customWidth="1"/>
    <col min="7" max="7" width="47.7109375" style="28" customWidth="1"/>
    <col min="8" max="8" width="3.140625" style="28" customWidth="1"/>
    <col min="9" max="9" width="37.7109375" style="28" customWidth="1"/>
    <col min="10" max="10" width="50.5703125" style="28" customWidth="1"/>
    <col min="11" max="11" width="3.140625" style="28" customWidth="1"/>
    <col min="12" max="12" width="28.140625" style="28" customWidth="1"/>
    <col min="13" max="13" width="1.7109375" style="28" customWidth="1"/>
    <col min="14" max="14" width="28.140625" style="28" customWidth="1"/>
    <col min="15" max="15" width="1.28515625" style="28" customWidth="1"/>
    <col min="16" max="16" width="28.140625" style="28" customWidth="1"/>
    <col min="17" max="17" width="1.28515625" style="28" customWidth="1"/>
    <col min="18" max="18" width="28.140625" style="28" customWidth="1"/>
    <col min="19" max="19" width="1.28515625" style="28" customWidth="1"/>
    <col min="20" max="20" width="28.140625" style="28" customWidth="1"/>
    <col min="21" max="21" width="1.28515625" style="28" customWidth="1"/>
    <col min="22" max="22" width="28.140625" style="28" customWidth="1"/>
    <col min="23" max="23" width="2.5703125" style="28" customWidth="1"/>
    <col min="24" max="24" width="3.7109375" style="28" customWidth="1"/>
    <col min="25" max="68" width="0" style="28" hidden="1" customWidth="1"/>
    <col min="69" max="16384" width="8.85546875" style="28" hidden="1"/>
  </cols>
  <sheetData>
    <row r="1" spans="1:52" ht="15" customHeight="1" thickBot="1">
      <c r="X1" s="29"/>
      <c r="Y1" s="29"/>
      <c r="Z1" s="29"/>
      <c r="AA1" s="29"/>
    </row>
    <row r="2" spans="1:52" ht="20.100000000000001" customHeight="1" thickBot="1">
      <c r="A2" s="29"/>
      <c r="B2" s="121" t="s">
        <v>417</v>
      </c>
      <c r="C2" s="921"/>
      <c r="D2" s="921"/>
      <c r="E2" s="921"/>
      <c r="F2" s="921"/>
      <c r="G2" s="921"/>
      <c r="H2" s="921"/>
      <c r="I2" s="921"/>
      <c r="J2" s="921"/>
      <c r="K2" s="921"/>
      <c r="L2" s="921"/>
      <c r="M2" s="921"/>
      <c r="N2" s="921"/>
      <c r="O2" s="921"/>
      <c r="P2" s="921"/>
      <c r="Q2" s="921"/>
      <c r="R2" s="921"/>
      <c r="S2" s="921"/>
      <c r="T2" s="921"/>
      <c r="U2" s="921"/>
      <c r="V2" s="921"/>
      <c r="W2" s="922"/>
      <c r="X2" s="29"/>
      <c r="Y2" s="29"/>
      <c r="Z2" s="29"/>
      <c r="AA2" s="29"/>
    </row>
    <row r="3" spans="1:52" ht="9.9499999999999993" customHeight="1">
      <c r="A3" s="29"/>
      <c r="B3" s="42"/>
      <c r="C3" s="43"/>
      <c r="D3" s="43"/>
      <c r="E3" s="43"/>
      <c r="F3" s="43"/>
      <c r="G3" s="43"/>
      <c r="H3" s="43"/>
      <c r="I3" s="43"/>
      <c r="J3" s="43"/>
      <c r="K3" s="43"/>
      <c r="L3" s="43"/>
      <c r="M3" s="43"/>
      <c r="N3" s="43"/>
      <c r="O3" s="43"/>
      <c r="P3" s="43"/>
      <c r="Q3" s="43"/>
      <c r="R3" s="43"/>
      <c r="S3" s="43"/>
      <c r="T3" s="43"/>
      <c r="U3" s="43"/>
      <c r="V3" s="43"/>
      <c r="W3" s="44"/>
      <c r="X3" s="29"/>
      <c r="Y3" s="29"/>
      <c r="Z3" s="29"/>
      <c r="AA3" s="29"/>
    </row>
    <row r="4" spans="1:52" ht="15" customHeight="1">
      <c r="A4" s="29"/>
      <c r="B4" s="42"/>
      <c r="C4" s="98" t="s">
        <v>4</v>
      </c>
      <c r="D4" s="99"/>
      <c r="E4" s="99"/>
      <c r="F4" s="99"/>
      <c r="G4" s="99"/>
      <c r="H4" s="99"/>
      <c r="I4" s="99"/>
      <c r="J4" s="99"/>
      <c r="K4" s="99"/>
      <c r="L4" s="100"/>
      <c r="M4" s="66"/>
      <c r="N4" s="66"/>
      <c r="O4" s="66"/>
      <c r="P4" s="66"/>
      <c r="Q4" s="66"/>
      <c r="R4" s="66"/>
      <c r="S4" s="66"/>
      <c r="T4" s="66"/>
      <c r="U4" s="66"/>
      <c r="V4" s="66"/>
      <c r="W4" s="44"/>
      <c r="X4" s="29"/>
      <c r="Y4" s="29"/>
      <c r="Z4" s="29"/>
      <c r="AA4" s="29"/>
    </row>
    <row r="5" spans="1:52" ht="15" customHeight="1">
      <c r="B5" s="30"/>
      <c r="C5" s="142" t="s">
        <v>79</v>
      </c>
      <c r="D5" s="63" t="s">
        <v>694</v>
      </c>
      <c r="E5" s="27"/>
      <c r="F5" s="27"/>
      <c r="G5" s="27"/>
      <c r="H5" s="27"/>
      <c r="I5" s="27"/>
      <c r="J5" s="27"/>
      <c r="K5" s="27"/>
      <c r="L5" s="57"/>
      <c r="M5" s="27"/>
      <c r="N5" s="27"/>
      <c r="O5" s="27"/>
      <c r="P5" s="27"/>
      <c r="Q5" s="27"/>
      <c r="R5" s="27"/>
      <c r="S5" s="27"/>
      <c r="T5" s="27"/>
      <c r="U5" s="27"/>
      <c r="V5" s="27"/>
      <c r="W5" s="31"/>
      <c r="X5" s="29"/>
      <c r="Y5" s="29"/>
      <c r="Z5" s="29"/>
      <c r="AA5" s="29"/>
    </row>
    <row r="6" spans="1:52" ht="15" customHeight="1">
      <c r="B6" s="30"/>
      <c r="C6" s="142" t="s">
        <v>79</v>
      </c>
      <c r="D6" s="63" t="s">
        <v>491</v>
      </c>
      <c r="E6" s="27"/>
      <c r="F6" s="27"/>
      <c r="G6" s="27"/>
      <c r="H6" s="27"/>
      <c r="I6" s="27"/>
      <c r="J6" s="27"/>
      <c r="K6" s="27"/>
      <c r="L6" s="57"/>
      <c r="M6" s="27"/>
      <c r="N6" s="27"/>
      <c r="O6" s="27"/>
      <c r="P6" s="27"/>
      <c r="Q6" s="27"/>
      <c r="R6" s="27"/>
      <c r="S6" s="27"/>
      <c r="T6" s="27"/>
      <c r="U6" s="27"/>
      <c r="V6" s="27"/>
      <c r="W6" s="31"/>
      <c r="X6" s="29"/>
      <c r="Y6" s="29"/>
      <c r="Z6" s="29"/>
      <c r="AA6" s="29"/>
    </row>
    <row r="7" spans="1:52" ht="15" customHeight="1">
      <c r="B7" s="30"/>
      <c r="C7" s="142" t="s">
        <v>79</v>
      </c>
      <c r="D7" s="1005" t="s">
        <v>616</v>
      </c>
      <c r="E7" s="1005"/>
      <c r="F7" s="1005"/>
      <c r="G7" s="1005"/>
      <c r="H7" s="1005"/>
      <c r="I7" s="1005"/>
      <c r="J7" s="1005"/>
      <c r="K7" s="1005"/>
      <c r="L7" s="57"/>
      <c r="M7" s="27"/>
      <c r="N7" s="27"/>
      <c r="O7" s="27"/>
      <c r="P7" s="27"/>
      <c r="Q7" s="27"/>
      <c r="R7" s="27"/>
      <c r="S7" s="27"/>
      <c r="T7" s="27"/>
      <c r="U7" s="27"/>
      <c r="V7" s="27"/>
      <c r="W7" s="789"/>
      <c r="X7" s="27"/>
      <c r="Y7" s="27"/>
      <c r="Z7" s="27"/>
      <c r="AA7" s="27"/>
      <c r="AB7" s="27"/>
      <c r="AC7" s="27"/>
      <c r="AD7" s="789"/>
      <c r="AE7" s="27"/>
      <c r="AF7" s="27"/>
      <c r="AG7" s="27"/>
      <c r="AH7" s="27"/>
      <c r="AI7" s="27"/>
      <c r="AJ7" s="27"/>
      <c r="AK7" s="27"/>
      <c r="AL7" s="27"/>
      <c r="AM7" s="27"/>
      <c r="AN7" s="27"/>
      <c r="AO7" s="27"/>
      <c r="AP7" s="27"/>
      <c r="AQ7" s="27"/>
      <c r="AR7" s="27"/>
      <c r="AS7" s="27"/>
      <c r="AT7" s="27"/>
      <c r="AU7" s="73"/>
      <c r="AV7" s="29"/>
      <c r="AW7" s="29"/>
      <c r="AX7" s="29"/>
      <c r="AY7" s="29"/>
    </row>
    <row r="8" spans="1:52" ht="15" customHeight="1">
      <c r="B8" s="30"/>
      <c r="C8" s="142"/>
      <c r="D8" s="1005"/>
      <c r="E8" s="1005"/>
      <c r="F8" s="1005"/>
      <c r="G8" s="1005"/>
      <c r="H8" s="1005"/>
      <c r="I8" s="1005"/>
      <c r="J8" s="1005"/>
      <c r="K8" s="1005"/>
      <c r="L8" s="57"/>
      <c r="M8" s="27"/>
      <c r="N8" s="27"/>
      <c r="O8" s="27"/>
      <c r="P8" s="27"/>
      <c r="Q8" s="27"/>
      <c r="R8" s="27"/>
      <c r="S8" s="27"/>
      <c r="T8" s="27"/>
      <c r="U8" s="27"/>
      <c r="V8" s="27"/>
      <c r="W8" s="789"/>
      <c r="X8" s="27"/>
      <c r="Y8" s="27"/>
      <c r="Z8" s="27"/>
      <c r="AA8" s="27"/>
      <c r="AB8" s="27"/>
      <c r="AC8" s="27"/>
      <c r="AD8" s="789"/>
      <c r="AE8" s="27"/>
      <c r="AF8" s="27"/>
      <c r="AG8" s="27"/>
      <c r="AH8" s="27"/>
      <c r="AI8" s="27"/>
      <c r="AJ8" s="27"/>
      <c r="AK8" s="27"/>
      <c r="AL8" s="27"/>
      <c r="AM8" s="27"/>
      <c r="AN8" s="27"/>
      <c r="AO8" s="27"/>
      <c r="AP8" s="27"/>
      <c r="AQ8" s="27"/>
      <c r="AR8" s="27"/>
      <c r="AS8" s="27"/>
      <c r="AT8" s="27"/>
      <c r="AU8" s="73"/>
      <c r="AV8" s="29"/>
      <c r="AW8" s="29"/>
      <c r="AX8" s="29"/>
      <c r="AY8" s="29"/>
    </row>
    <row r="9" spans="1:52" ht="15" customHeight="1">
      <c r="B9" s="30"/>
      <c r="C9" s="142" t="s">
        <v>79</v>
      </c>
      <c r="D9" s="63" t="s">
        <v>700</v>
      </c>
      <c r="E9" s="27"/>
      <c r="F9" s="27"/>
      <c r="G9" s="27"/>
      <c r="H9" s="27"/>
      <c r="I9" s="27"/>
      <c r="J9" s="27"/>
      <c r="K9" s="27"/>
      <c r="L9" s="57"/>
      <c r="M9" s="27"/>
      <c r="N9" s="27"/>
      <c r="O9" s="27"/>
      <c r="P9" s="27"/>
      <c r="Q9" s="27"/>
      <c r="R9" s="27"/>
      <c r="S9" s="27"/>
      <c r="T9" s="27"/>
      <c r="U9" s="27"/>
      <c r="V9" s="27"/>
      <c r="W9" s="31"/>
      <c r="X9" s="29"/>
      <c r="Y9" s="29"/>
      <c r="Z9" s="29"/>
      <c r="AA9" s="29"/>
    </row>
    <row r="10" spans="1:52" ht="15" customHeight="1">
      <c r="B10" s="32"/>
      <c r="C10" s="142" t="s">
        <v>79</v>
      </c>
      <c r="D10" s="63" t="s">
        <v>695</v>
      </c>
      <c r="E10" s="27"/>
      <c r="F10" s="27"/>
      <c r="G10" s="27"/>
      <c r="H10" s="27"/>
      <c r="I10" s="27"/>
      <c r="J10" s="27"/>
      <c r="K10" s="27"/>
      <c r="L10" s="57"/>
      <c r="M10" s="27"/>
      <c r="N10" s="27"/>
      <c r="O10" s="27"/>
      <c r="P10" s="27"/>
      <c r="Q10" s="27"/>
      <c r="R10" s="27"/>
      <c r="S10" s="27"/>
      <c r="T10" s="27"/>
      <c r="U10" s="27"/>
      <c r="V10" s="27"/>
      <c r="W10" s="789"/>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31"/>
      <c r="AW10" s="29"/>
      <c r="AX10" s="29"/>
      <c r="AY10" s="29"/>
      <c r="AZ10" s="29"/>
    </row>
    <row r="11" spans="1:52" ht="15" customHeight="1">
      <c r="B11" s="32"/>
      <c r="C11" s="142"/>
      <c r="D11" s="63" t="s">
        <v>696</v>
      </c>
      <c r="E11" s="27"/>
      <c r="F11" s="27"/>
      <c r="G11" s="27"/>
      <c r="H11" s="27"/>
      <c r="I11" s="27"/>
      <c r="J11" s="27"/>
      <c r="K11" s="27"/>
      <c r="L11" s="57"/>
      <c r="M11" s="27"/>
      <c r="N11" s="27"/>
      <c r="O11" s="27"/>
      <c r="P11" s="27"/>
      <c r="Q11" s="27"/>
      <c r="R11" s="27"/>
      <c r="S11" s="27"/>
      <c r="T11" s="27"/>
      <c r="U11" s="27"/>
      <c r="V11" s="27"/>
      <c r="W11" s="789"/>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31"/>
      <c r="AW11" s="29"/>
      <c r="AX11" s="29"/>
      <c r="AY11" s="29"/>
      <c r="AZ11" s="29"/>
    </row>
    <row r="12" spans="1:52" ht="15" customHeight="1">
      <c r="B12" s="30"/>
      <c r="C12" s="142" t="s">
        <v>79</v>
      </c>
      <c r="D12" s="771" t="s">
        <v>607</v>
      </c>
      <c r="E12" s="741"/>
      <c r="F12" s="741"/>
      <c r="G12" s="741"/>
      <c r="H12" s="741"/>
      <c r="I12" s="741"/>
      <c r="J12" s="741"/>
      <c r="K12" s="741"/>
      <c r="L12" s="742"/>
      <c r="M12" s="741"/>
      <c r="N12" s="741"/>
      <c r="O12" s="741"/>
      <c r="P12" s="741"/>
      <c r="Q12" s="741"/>
      <c r="R12" s="29"/>
      <c r="S12" s="29"/>
      <c r="T12" s="29"/>
      <c r="U12" s="29"/>
      <c r="V12" s="29"/>
      <c r="W12" s="31"/>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31"/>
    </row>
    <row r="13" spans="1:52" ht="15" customHeight="1">
      <c r="B13" s="30"/>
      <c r="C13" s="142" t="s">
        <v>79</v>
      </c>
      <c r="D13" s="63" t="s">
        <v>533</v>
      </c>
      <c r="E13" s="741"/>
      <c r="F13" s="741"/>
      <c r="G13" s="741"/>
      <c r="H13" s="741"/>
      <c r="I13" s="741"/>
      <c r="J13" s="741"/>
      <c r="K13" s="741"/>
      <c r="L13" s="742"/>
      <c r="M13" s="741"/>
      <c r="N13" s="741"/>
      <c r="O13" s="741"/>
      <c r="P13" s="741"/>
      <c r="Q13" s="741"/>
      <c r="R13" s="29"/>
      <c r="S13" s="29"/>
      <c r="T13" s="29"/>
      <c r="U13" s="29"/>
      <c r="V13" s="29"/>
      <c r="W13" s="31"/>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31"/>
    </row>
    <row r="14" spans="1:52" ht="15" customHeight="1">
      <c r="B14" s="32"/>
      <c r="C14" s="56"/>
      <c r="D14" s="27"/>
      <c r="E14" s="27"/>
      <c r="F14" s="27"/>
      <c r="G14" s="27"/>
      <c r="H14" s="27"/>
      <c r="I14" s="27"/>
      <c r="J14" s="27"/>
      <c r="K14" s="27"/>
      <c r="L14" s="57"/>
      <c r="M14" s="27"/>
      <c r="N14" s="27"/>
      <c r="O14" s="27"/>
      <c r="P14" s="27"/>
      <c r="Q14" s="27"/>
      <c r="R14" s="27"/>
      <c r="S14" s="27"/>
      <c r="T14" s="27"/>
      <c r="U14" s="27"/>
      <c r="V14" s="27"/>
      <c r="W14" s="789"/>
      <c r="X14" s="27"/>
      <c r="Y14" s="27"/>
      <c r="Z14" s="27"/>
      <c r="AA14" s="27"/>
      <c r="AB14" s="27"/>
      <c r="AC14" s="27"/>
      <c r="AD14" s="789"/>
      <c r="AE14" s="27"/>
      <c r="AF14" s="27"/>
      <c r="AG14" s="27"/>
      <c r="AH14" s="27"/>
      <c r="AI14" s="27"/>
      <c r="AJ14" s="27"/>
      <c r="AK14" s="27"/>
      <c r="AL14" s="27"/>
      <c r="AM14" s="27"/>
      <c r="AN14" s="27"/>
      <c r="AO14" s="27"/>
      <c r="AP14" s="27"/>
      <c r="AQ14" s="27"/>
      <c r="AR14" s="27"/>
      <c r="AS14" s="27"/>
      <c r="AT14" s="27"/>
      <c r="AU14" s="73"/>
      <c r="AV14" s="29"/>
      <c r="AW14" s="29"/>
      <c r="AX14" s="29"/>
      <c r="AY14" s="29"/>
    </row>
    <row r="15" spans="1:52" ht="15" customHeight="1">
      <c r="B15" s="32"/>
      <c r="C15" s="58" t="s">
        <v>11</v>
      </c>
      <c r="D15" s="29"/>
      <c r="E15" s="26"/>
      <c r="F15" s="27"/>
      <c r="G15" s="27"/>
      <c r="H15" s="27"/>
      <c r="I15" s="63"/>
      <c r="J15" s="27"/>
      <c r="K15" s="27"/>
      <c r="L15" s="57"/>
      <c r="M15" s="27"/>
      <c r="N15" s="27"/>
      <c r="O15" s="27"/>
      <c r="P15" s="27"/>
      <c r="Q15" s="27"/>
      <c r="R15" s="27"/>
      <c r="S15" s="27"/>
      <c r="T15" s="27"/>
      <c r="U15" s="27"/>
      <c r="V15" s="27"/>
      <c r="W15" s="789"/>
      <c r="X15" s="27"/>
      <c r="Y15" s="27"/>
      <c r="Z15" s="27"/>
      <c r="AA15" s="27"/>
      <c r="AB15" s="27"/>
      <c r="AC15" s="27"/>
      <c r="AD15" s="789"/>
      <c r="AE15" s="27"/>
      <c r="AF15" s="27"/>
      <c r="AG15" s="27"/>
      <c r="AH15" s="27"/>
      <c r="AI15" s="27"/>
      <c r="AJ15" s="27"/>
      <c r="AK15" s="27"/>
      <c r="AL15" s="27"/>
      <c r="AM15" s="27"/>
      <c r="AN15" s="27"/>
      <c r="AO15" s="27"/>
      <c r="AP15" s="27"/>
      <c r="AQ15" s="27"/>
      <c r="AR15" s="27"/>
      <c r="AS15" s="27"/>
      <c r="AT15" s="27"/>
      <c r="AU15" s="73"/>
      <c r="AV15" s="29"/>
      <c r="AW15" s="29"/>
      <c r="AX15" s="29"/>
      <c r="AY15" s="29"/>
    </row>
    <row r="16" spans="1:52" ht="15" customHeight="1">
      <c r="B16" s="32"/>
      <c r="C16" s="152"/>
      <c r="D16" s="63" t="s">
        <v>588</v>
      </c>
      <c r="E16" s="29"/>
      <c r="F16" s="27"/>
      <c r="G16" s="27"/>
      <c r="H16" s="27"/>
      <c r="I16" s="63"/>
      <c r="J16" s="27"/>
      <c r="K16" s="27"/>
      <c r="L16" s="57"/>
      <c r="M16" s="27"/>
      <c r="N16" s="27"/>
      <c r="O16" s="27"/>
      <c r="P16" s="27"/>
      <c r="Q16" s="27"/>
      <c r="R16" s="27"/>
      <c r="S16" s="27"/>
      <c r="T16" s="27"/>
      <c r="U16" s="27"/>
      <c r="V16" s="27"/>
      <c r="W16" s="789"/>
      <c r="X16" s="27"/>
      <c r="Y16" s="27"/>
      <c r="Z16" s="27"/>
      <c r="AA16" s="27"/>
      <c r="AB16" s="27"/>
      <c r="AC16" s="27"/>
      <c r="AD16" s="789"/>
      <c r="AE16" s="27"/>
      <c r="AF16" s="27"/>
      <c r="AG16" s="27"/>
      <c r="AH16" s="27"/>
      <c r="AI16" s="27"/>
      <c r="AJ16" s="27"/>
      <c r="AK16" s="27"/>
      <c r="AL16" s="27"/>
      <c r="AM16" s="27"/>
      <c r="AN16" s="27"/>
      <c r="AO16" s="27"/>
      <c r="AP16" s="27"/>
      <c r="AQ16" s="27"/>
      <c r="AR16" s="27"/>
      <c r="AS16" s="27"/>
      <c r="AT16" s="27"/>
      <c r="AU16" s="73"/>
      <c r="AV16" s="29"/>
      <c r="AW16" s="29"/>
      <c r="AX16" s="29"/>
      <c r="AY16" s="29"/>
    </row>
    <row r="17" spans="2:51" ht="15" customHeight="1">
      <c r="B17" s="32"/>
      <c r="C17" s="68"/>
      <c r="D17" s="63" t="s">
        <v>82</v>
      </c>
      <c r="E17" s="29"/>
      <c r="F17" s="27"/>
      <c r="G17" s="27"/>
      <c r="H17" s="27"/>
      <c r="I17" s="27"/>
      <c r="J17" s="27"/>
      <c r="K17" s="27"/>
      <c r="L17" s="57"/>
      <c r="M17" s="27"/>
      <c r="N17" s="27"/>
      <c r="O17" s="27"/>
      <c r="P17" s="27"/>
      <c r="Q17" s="27"/>
      <c r="R17" s="27"/>
      <c r="S17" s="27"/>
      <c r="T17" s="27"/>
      <c r="U17" s="27"/>
      <c r="V17" s="27"/>
      <c r="W17" s="789"/>
      <c r="X17" s="27"/>
      <c r="Y17" s="27"/>
      <c r="Z17" s="27"/>
      <c r="AA17" s="27"/>
      <c r="AB17" s="27"/>
      <c r="AC17" s="27"/>
      <c r="AD17" s="789"/>
      <c r="AE17" s="27"/>
      <c r="AF17" s="27"/>
      <c r="AG17" s="27"/>
      <c r="AH17" s="27"/>
      <c r="AI17" s="27"/>
      <c r="AJ17" s="27"/>
      <c r="AK17" s="27"/>
      <c r="AL17" s="27"/>
      <c r="AM17" s="27"/>
      <c r="AN17" s="27"/>
      <c r="AO17" s="27"/>
      <c r="AP17" s="27"/>
      <c r="AQ17" s="27"/>
      <c r="AR17" s="27"/>
      <c r="AS17" s="27"/>
      <c r="AT17" s="27"/>
      <c r="AU17" s="73"/>
      <c r="AV17" s="29"/>
      <c r="AW17" s="29"/>
      <c r="AX17" s="29"/>
      <c r="AY17" s="29"/>
    </row>
    <row r="18" spans="2:51" ht="15" customHeight="1">
      <c r="B18" s="32"/>
      <c r="C18" s="153" t="s">
        <v>33</v>
      </c>
      <c r="D18" s="781" t="s">
        <v>610</v>
      </c>
      <c r="E18" s="59"/>
      <c r="F18" s="60"/>
      <c r="G18" s="60"/>
      <c r="H18" s="60"/>
      <c r="I18" s="60"/>
      <c r="J18" s="60"/>
      <c r="K18" s="60"/>
      <c r="L18" s="61"/>
      <c r="M18" s="27"/>
      <c r="N18" s="27"/>
      <c r="O18" s="27"/>
      <c r="P18" s="27"/>
      <c r="Q18" s="27"/>
      <c r="R18" s="27"/>
      <c r="S18" s="27"/>
      <c r="T18" s="27"/>
      <c r="U18" s="27"/>
      <c r="V18" s="27"/>
      <c r="W18" s="789"/>
      <c r="X18" s="27"/>
      <c r="Y18" s="27"/>
      <c r="Z18" s="27"/>
      <c r="AA18" s="27"/>
      <c r="AB18" s="27"/>
      <c r="AC18" s="27"/>
      <c r="AD18" s="789"/>
      <c r="AE18" s="27"/>
      <c r="AF18" s="27"/>
      <c r="AG18" s="27"/>
      <c r="AH18" s="27"/>
      <c r="AI18" s="27"/>
      <c r="AJ18" s="27"/>
      <c r="AK18" s="27"/>
      <c r="AL18" s="27"/>
      <c r="AM18" s="27"/>
      <c r="AN18" s="27"/>
      <c r="AO18" s="27"/>
      <c r="AP18" s="27"/>
      <c r="AQ18" s="27"/>
      <c r="AR18" s="27"/>
      <c r="AS18" s="27"/>
      <c r="AT18" s="27"/>
      <c r="AU18" s="73"/>
      <c r="AV18" s="29"/>
      <c r="AW18" s="29"/>
      <c r="AX18" s="29"/>
      <c r="AY18" s="29"/>
    </row>
    <row r="19" spans="2:51" ht="15" customHeight="1">
      <c r="B19" s="32"/>
      <c r="C19" s="29"/>
      <c r="D19" s="63"/>
      <c r="E19" s="29"/>
      <c r="F19" s="29"/>
      <c r="G19" s="60"/>
      <c r="H19" s="27"/>
      <c r="I19" s="27"/>
      <c r="J19" s="27"/>
      <c r="K19" s="27"/>
      <c r="L19" s="27"/>
      <c r="M19" s="27"/>
      <c r="N19" s="27"/>
      <c r="O19" s="27"/>
      <c r="P19" s="27"/>
      <c r="Q19" s="27"/>
      <c r="R19" s="27"/>
      <c r="S19" s="27"/>
      <c r="T19" s="27"/>
      <c r="U19" s="27"/>
      <c r="V19" s="27"/>
      <c r="W19" s="31"/>
      <c r="X19" s="29"/>
      <c r="Y19" s="29"/>
      <c r="Z19" s="29"/>
      <c r="AA19" s="29"/>
    </row>
    <row r="20" spans="2:51" s="447" customFormat="1" ht="15" customHeight="1">
      <c r="B20" s="446"/>
      <c r="C20" s="108"/>
      <c r="D20" s="108"/>
      <c r="E20" s="108"/>
      <c r="F20" s="108"/>
      <c r="G20" s="1021" t="s">
        <v>12</v>
      </c>
      <c r="H20" s="76"/>
      <c r="I20" s="1010" t="s">
        <v>693</v>
      </c>
      <c r="J20" s="1010" t="s">
        <v>699</v>
      </c>
      <c r="K20" s="108"/>
      <c r="L20" s="1024" t="s">
        <v>32</v>
      </c>
      <c r="M20" s="1024"/>
      <c r="N20" s="1024"/>
      <c r="O20" s="1024"/>
      <c r="P20" s="1024"/>
      <c r="Q20" s="1024"/>
      <c r="R20" s="1024"/>
      <c r="S20" s="1024"/>
      <c r="T20" s="1024"/>
      <c r="U20" s="1024"/>
      <c r="V20" s="1024"/>
      <c r="W20" s="448"/>
      <c r="X20" s="108"/>
      <c r="Y20" s="108"/>
      <c r="Z20" s="108"/>
      <c r="AA20" s="108"/>
    </row>
    <row r="21" spans="2:51" ht="15" customHeight="1">
      <c r="B21" s="33"/>
      <c r="C21" s="29"/>
      <c r="D21" s="47"/>
      <c r="E21" s="97"/>
      <c r="F21" s="97"/>
      <c r="G21" s="1025"/>
      <c r="H21" s="748"/>
      <c r="I21" s="1027"/>
      <c r="J21" s="1027"/>
      <c r="K21" s="748"/>
      <c r="L21" s="746" t="s">
        <v>86</v>
      </c>
      <c r="M21" s="748"/>
      <c r="N21" s="746" t="s">
        <v>392</v>
      </c>
      <c r="O21" s="746"/>
      <c r="P21" s="746" t="s">
        <v>393</v>
      </c>
      <c r="Q21" s="746"/>
      <c r="R21" s="746" t="s">
        <v>339</v>
      </c>
      <c r="S21" s="746"/>
      <c r="T21" s="746" t="s">
        <v>340</v>
      </c>
      <c r="U21" s="746"/>
      <c r="V21" s="746" t="s">
        <v>341</v>
      </c>
      <c r="W21" s="31"/>
      <c r="X21" s="29"/>
      <c r="Y21" s="29"/>
      <c r="Z21" s="29"/>
      <c r="AA21" s="29"/>
    </row>
    <row r="22" spans="2:51" ht="14.25" customHeight="1">
      <c r="B22" s="33"/>
      <c r="C22" s="29"/>
      <c r="D22" s="47"/>
      <c r="E22" s="97"/>
      <c r="F22" s="97"/>
      <c r="G22" s="1025"/>
      <c r="H22" s="748"/>
      <c r="I22" s="1027"/>
      <c r="J22" s="1027"/>
      <c r="K22" s="748"/>
      <c r="L22" s="443" t="str">
        <f>IF(code0="","",code0)</f>
        <v/>
      </c>
      <c r="M22" s="421"/>
      <c r="N22" s="443" t="str">
        <f>IF(code1="","",code1)</f>
        <v/>
      </c>
      <c r="O22" s="421"/>
      <c r="P22" s="443" t="str">
        <f>IF(code2="","",code2)</f>
        <v/>
      </c>
      <c r="Q22" s="421"/>
      <c r="R22" s="443" t="str">
        <f>IF(code3="","",code3)</f>
        <v/>
      </c>
      <c r="S22" s="421"/>
      <c r="T22" s="443" t="str">
        <f>IF(code4="","",code4)</f>
        <v/>
      </c>
      <c r="U22" s="421"/>
      <c r="V22" s="443" t="str">
        <f>IF(code5="","",code5)</f>
        <v/>
      </c>
      <c r="W22" s="31"/>
      <c r="X22" s="29"/>
      <c r="Y22" s="29"/>
      <c r="Z22" s="29"/>
      <c r="AA22" s="29"/>
    </row>
    <row r="23" spans="2:51" ht="18" customHeight="1">
      <c r="B23" s="33"/>
      <c r="C23" s="29"/>
      <c r="D23" s="47"/>
      <c r="E23" s="97"/>
      <c r="F23" s="97"/>
      <c r="G23" s="1026"/>
      <c r="H23" s="748"/>
      <c r="I23" s="1011"/>
      <c r="J23" s="1011"/>
      <c r="K23" s="747"/>
      <c r="L23" s="445" t="str">
        <f>IF(code0="","",IF(name0="","noname",name0))</f>
        <v/>
      </c>
      <c r="M23" s="451"/>
      <c r="N23" s="445" t="str">
        <f>IF(code1="","",IF(name1="","noname",name1))</f>
        <v/>
      </c>
      <c r="O23" s="445"/>
      <c r="P23" s="445" t="str">
        <f>IF(code2="","",IF(name2="","noname",name2))</f>
        <v/>
      </c>
      <c r="Q23" s="445"/>
      <c r="R23" s="445" t="str">
        <f>IF(code3="","",IF(name3="","noname",name3))</f>
        <v/>
      </c>
      <c r="S23" s="445"/>
      <c r="T23" s="445" t="str">
        <f>IF(code4="","",IF(name4="","noname",name4))</f>
        <v/>
      </c>
      <c r="U23" s="445"/>
      <c r="V23" s="445" t="str">
        <f>IF(code5="","",IF(name5="","noname",name5))</f>
        <v/>
      </c>
      <c r="W23" s="31"/>
      <c r="X23" s="29"/>
      <c r="Y23" s="29"/>
      <c r="Z23" s="29"/>
      <c r="AA23" s="29"/>
    </row>
    <row r="24" spans="2:51" ht="24.95" customHeight="1">
      <c r="B24" s="34"/>
      <c r="C24" s="49" t="s">
        <v>21</v>
      </c>
      <c r="D24" s="49"/>
      <c r="E24" s="49"/>
      <c r="F24" s="49"/>
      <c r="G24" s="67"/>
      <c r="H24" s="67"/>
      <c r="I24" s="67"/>
      <c r="J24" s="67"/>
      <c r="K24" s="67"/>
      <c r="L24" s="67"/>
      <c r="M24" s="67"/>
      <c r="N24" s="35"/>
      <c r="O24" s="35"/>
      <c r="P24" s="35"/>
      <c r="Q24" s="35"/>
      <c r="R24" s="35"/>
      <c r="S24" s="35"/>
      <c r="T24" s="47"/>
      <c r="U24" s="47"/>
      <c r="V24" s="35"/>
      <c r="W24" s="36"/>
      <c r="X24" s="29"/>
      <c r="Y24" s="29"/>
      <c r="Z24" s="29"/>
      <c r="AA24" s="29"/>
    </row>
    <row r="25" spans="2:51" ht="24.95" customHeight="1">
      <c r="B25" s="34"/>
      <c r="C25" s="49"/>
      <c r="D25" s="47" t="s">
        <v>269</v>
      </c>
      <c r="E25" s="49"/>
      <c r="F25" s="49"/>
      <c r="G25" s="149"/>
      <c r="H25" s="151"/>
      <c r="I25" s="396"/>
      <c r="J25" s="782"/>
      <c r="K25" s="151"/>
      <c r="L25" s="172"/>
      <c r="M25" s="211"/>
      <c r="N25" s="172"/>
      <c r="O25" s="419"/>
      <c r="P25" s="172"/>
      <c r="Q25" s="419"/>
      <c r="R25" s="172"/>
      <c r="S25" s="419"/>
      <c r="T25" s="172"/>
      <c r="U25" s="419"/>
      <c r="V25" s="172"/>
      <c r="W25" s="36"/>
      <c r="X25" s="29"/>
      <c r="Y25" s="29"/>
      <c r="Z25" s="29"/>
      <c r="AA25" s="29"/>
    </row>
    <row r="26" spans="2:51" ht="24.95" customHeight="1">
      <c r="B26" s="30"/>
      <c r="C26" s="29"/>
      <c r="D26" s="47" t="s">
        <v>22</v>
      </c>
      <c r="E26" s="45"/>
      <c r="F26" s="45"/>
      <c r="G26" s="149"/>
      <c r="H26" s="151"/>
      <c r="I26" s="396"/>
      <c r="J26" s="782"/>
      <c r="K26" s="151"/>
      <c r="L26" s="172"/>
      <c r="M26" s="211"/>
      <c r="N26" s="172"/>
      <c r="O26" s="419"/>
      <c r="P26" s="172"/>
      <c r="Q26" s="419"/>
      <c r="R26" s="172"/>
      <c r="S26" s="419"/>
      <c r="T26" s="172"/>
      <c r="U26" s="419"/>
      <c r="V26" s="172"/>
      <c r="W26" s="31"/>
      <c r="X26" s="29"/>
      <c r="Y26" s="29"/>
      <c r="Z26" s="29"/>
      <c r="AA26" s="29"/>
    </row>
    <row r="27" spans="2:51" ht="24.95" customHeight="1">
      <c r="B27" s="30"/>
      <c r="C27" s="29"/>
      <c r="D27" s="47" t="s">
        <v>141</v>
      </c>
      <c r="E27" s="45"/>
      <c r="F27" s="45"/>
      <c r="G27" s="150"/>
      <c r="H27" s="737"/>
      <c r="I27" s="396"/>
      <c r="J27" s="782"/>
      <c r="K27" s="737"/>
      <c r="L27" s="161"/>
      <c r="M27" s="211"/>
      <c r="N27" s="161"/>
      <c r="O27" s="420">
        <v>2463</v>
      </c>
      <c r="P27" s="161"/>
      <c r="Q27" s="420">
        <v>3015</v>
      </c>
      <c r="R27" s="161"/>
      <c r="S27" s="420"/>
      <c r="T27" s="161"/>
      <c r="U27" s="420"/>
      <c r="V27" s="113"/>
      <c r="W27" s="31"/>
      <c r="X27" s="29"/>
      <c r="Y27" s="29"/>
      <c r="Z27" s="29"/>
      <c r="AA27" s="29"/>
    </row>
    <row r="28" spans="2:51" ht="24.95" customHeight="1">
      <c r="B28" s="30"/>
      <c r="C28" s="29"/>
      <c r="D28" s="47" t="s">
        <v>161</v>
      </c>
      <c r="E28" s="45"/>
      <c r="F28" s="45"/>
      <c r="G28" s="150"/>
      <c r="H28" s="737"/>
      <c r="I28" s="396"/>
      <c r="J28" s="782"/>
      <c r="K28" s="737"/>
      <c r="L28" s="172"/>
      <c r="M28" s="211"/>
      <c r="N28" s="172"/>
      <c r="O28" s="419">
        <v>11.1</v>
      </c>
      <c r="P28" s="172"/>
      <c r="Q28" s="419">
        <v>35</v>
      </c>
      <c r="R28" s="172"/>
      <c r="S28" s="419"/>
      <c r="T28" s="172"/>
      <c r="U28" s="419"/>
      <c r="V28" s="172"/>
      <c r="W28" s="31"/>
      <c r="X28" s="29"/>
      <c r="Y28" s="29"/>
      <c r="Z28" s="29"/>
      <c r="AA28" s="29"/>
    </row>
    <row r="29" spans="2:51" ht="24.95" customHeight="1">
      <c r="B29" s="34"/>
      <c r="C29" s="49" t="s">
        <v>24</v>
      </c>
      <c r="D29" s="49"/>
      <c r="E29" s="49"/>
      <c r="F29" s="49"/>
      <c r="G29" s="67"/>
      <c r="H29" s="67"/>
      <c r="I29" s="67"/>
      <c r="J29" s="67"/>
      <c r="K29" s="67"/>
      <c r="L29" s="208"/>
      <c r="M29" s="208"/>
      <c r="N29" s="208"/>
      <c r="O29" s="208"/>
      <c r="P29" s="208"/>
      <c r="Q29" s="208"/>
      <c r="R29" s="208"/>
      <c r="S29" s="208"/>
      <c r="T29" s="208"/>
      <c r="U29" s="208"/>
      <c r="V29" s="208"/>
      <c r="W29" s="36"/>
      <c r="X29" s="29"/>
      <c r="Y29" s="29"/>
      <c r="Z29" s="29"/>
      <c r="AA29" s="29"/>
    </row>
    <row r="30" spans="2:51" ht="24.95" customHeight="1">
      <c r="B30" s="34"/>
      <c r="C30" s="49"/>
      <c r="D30" s="47" t="s">
        <v>382</v>
      </c>
      <c r="E30" s="49"/>
      <c r="F30" s="49"/>
      <c r="G30" s="150"/>
      <c r="H30" s="737"/>
      <c r="I30" s="396"/>
      <c r="J30" s="782"/>
      <c r="K30" s="737"/>
      <c r="L30" s="407"/>
      <c r="M30" s="431"/>
      <c r="N30" s="407"/>
      <c r="O30" s="431"/>
      <c r="P30" s="407"/>
      <c r="Q30" s="431"/>
      <c r="R30" s="407"/>
      <c r="S30" s="431"/>
      <c r="T30" s="407"/>
      <c r="U30" s="431"/>
      <c r="V30" s="407"/>
      <c r="W30" s="36"/>
      <c r="X30" s="29"/>
      <c r="Y30" s="29"/>
      <c r="Z30" s="29"/>
      <c r="AA30" s="29"/>
    </row>
    <row r="31" spans="2:51" ht="24.95" customHeight="1">
      <c r="B31" s="34"/>
      <c r="C31" s="49"/>
      <c r="D31" s="47" t="s">
        <v>383</v>
      </c>
      <c r="E31" s="49"/>
      <c r="F31" s="49"/>
      <c r="G31" s="150"/>
      <c r="H31" s="737"/>
      <c r="I31" s="396"/>
      <c r="J31" s="782"/>
      <c r="K31" s="737"/>
      <c r="L31" s="407"/>
      <c r="M31" s="431"/>
      <c r="N31" s="407"/>
      <c r="O31" s="431"/>
      <c r="P31" s="407"/>
      <c r="Q31" s="431"/>
      <c r="R31" s="407"/>
      <c r="S31" s="431"/>
      <c r="T31" s="407"/>
      <c r="U31" s="431"/>
      <c r="V31" s="407"/>
      <c r="W31" s="36"/>
      <c r="X31" s="29"/>
      <c r="Y31" s="29"/>
      <c r="Z31" s="29"/>
      <c r="AA31" s="29"/>
    </row>
    <row r="32" spans="2:51" ht="24.95" customHeight="1">
      <c r="B32" s="34"/>
      <c r="C32" s="49"/>
      <c r="D32" s="47" t="s">
        <v>384</v>
      </c>
      <c r="E32" s="49"/>
      <c r="F32" s="49"/>
      <c r="G32" s="150"/>
      <c r="H32" s="737"/>
      <c r="I32" s="396"/>
      <c r="J32" s="782"/>
      <c r="K32" s="737"/>
      <c r="L32" s="407"/>
      <c r="M32" s="431"/>
      <c r="N32" s="407"/>
      <c r="O32" s="431"/>
      <c r="P32" s="407"/>
      <c r="Q32" s="431"/>
      <c r="R32" s="407"/>
      <c r="S32" s="431"/>
      <c r="T32" s="407"/>
      <c r="U32" s="431"/>
      <c r="V32" s="407"/>
      <c r="W32" s="36"/>
      <c r="X32" s="29"/>
      <c r="Y32" s="29"/>
      <c r="Z32" s="29"/>
      <c r="AA32" s="29"/>
    </row>
    <row r="33" spans="2:27" ht="24.95" customHeight="1">
      <c r="B33" s="34"/>
      <c r="C33" s="49"/>
      <c r="D33" s="47" t="s">
        <v>385</v>
      </c>
      <c r="E33" s="49"/>
      <c r="F33" s="49"/>
      <c r="G33" s="150"/>
      <c r="H33" s="737"/>
      <c r="I33" s="396"/>
      <c r="J33" s="782"/>
      <c r="K33" s="737"/>
      <c r="L33" s="407"/>
      <c r="M33" s="431"/>
      <c r="N33" s="407"/>
      <c r="O33" s="431"/>
      <c r="P33" s="407"/>
      <c r="Q33" s="431"/>
      <c r="R33" s="407"/>
      <c r="S33" s="431"/>
      <c r="T33" s="407"/>
      <c r="U33" s="431"/>
      <c r="V33" s="407"/>
      <c r="W33" s="36"/>
      <c r="X33" s="29"/>
      <c r="Y33" s="29"/>
      <c r="Z33" s="29"/>
      <c r="AA33" s="29"/>
    </row>
    <row r="34" spans="2:27" ht="24.95" customHeight="1">
      <c r="B34" s="30"/>
      <c r="C34" s="29"/>
      <c r="D34" s="47" t="s">
        <v>28</v>
      </c>
      <c r="E34" s="45"/>
      <c r="F34" s="372"/>
      <c r="G34" s="150"/>
      <c r="H34" s="737"/>
      <c r="I34" s="396"/>
      <c r="J34" s="782"/>
      <c r="K34" s="737"/>
      <c r="L34" s="113"/>
      <c r="M34" s="211"/>
      <c r="N34" s="113"/>
      <c r="O34" s="211"/>
      <c r="P34" s="113"/>
      <c r="Q34" s="211"/>
      <c r="R34" s="113"/>
      <c r="S34" s="211"/>
      <c r="T34" s="113"/>
      <c r="U34" s="211"/>
      <c r="V34" s="113"/>
      <c r="W34" s="31"/>
      <c r="X34" s="29"/>
      <c r="Y34" s="29"/>
      <c r="Z34" s="29"/>
      <c r="AA34" s="29"/>
    </row>
    <row r="35" spans="2:27" ht="24.95" customHeight="1">
      <c r="B35" s="30"/>
      <c r="C35" s="29"/>
      <c r="D35" s="47" t="s">
        <v>26</v>
      </c>
      <c r="E35" s="45"/>
      <c r="F35" s="372"/>
      <c r="G35" s="149"/>
      <c r="H35" s="151"/>
      <c r="I35" s="396"/>
      <c r="J35" s="782"/>
      <c r="K35" s="151"/>
      <c r="L35" s="113"/>
      <c r="M35" s="211"/>
      <c r="N35" s="113"/>
      <c r="O35" s="211"/>
      <c r="P35" s="113"/>
      <c r="Q35" s="211"/>
      <c r="R35" s="113"/>
      <c r="S35" s="211"/>
      <c r="T35" s="113"/>
      <c r="U35" s="211"/>
      <c r="V35" s="113"/>
      <c r="W35" s="31"/>
      <c r="X35" s="29"/>
      <c r="Y35" s="29"/>
      <c r="Z35" s="29"/>
      <c r="AA35" s="29"/>
    </row>
    <row r="36" spans="2:27" ht="24.95" customHeight="1">
      <c r="B36" s="30"/>
      <c r="C36" s="29"/>
      <c r="D36" s="47" t="s">
        <v>270</v>
      </c>
      <c r="E36" s="45"/>
      <c r="F36" s="372"/>
      <c r="G36" s="150"/>
      <c r="H36" s="151"/>
      <c r="I36" s="396"/>
      <c r="J36" s="782"/>
      <c r="K36" s="151"/>
      <c r="L36" s="113"/>
      <c r="M36" s="211"/>
      <c r="N36" s="113"/>
      <c r="O36" s="211"/>
      <c r="P36" s="113"/>
      <c r="Q36" s="211"/>
      <c r="R36" s="113"/>
      <c r="S36" s="211"/>
      <c r="T36" s="113"/>
      <c r="U36" s="211"/>
      <c r="V36" s="113"/>
      <c r="W36" s="31"/>
      <c r="X36" s="29"/>
      <c r="Y36" s="29"/>
      <c r="Z36" s="29"/>
      <c r="AA36" s="29"/>
    </row>
    <row r="37" spans="2:27" ht="24.95" customHeight="1">
      <c r="B37" s="30"/>
      <c r="C37" s="29"/>
      <c r="D37" s="47" t="s">
        <v>272</v>
      </c>
      <c r="E37" s="45"/>
      <c r="F37" s="372"/>
      <c r="G37" s="149"/>
      <c r="H37" s="151"/>
      <c r="I37" s="396"/>
      <c r="J37" s="782"/>
      <c r="K37" s="151"/>
      <c r="L37" s="113"/>
      <c r="M37" s="211"/>
      <c r="N37" s="113"/>
      <c r="O37" s="211"/>
      <c r="P37" s="113"/>
      <c r="Q37" s="211"/>
      <c r="R37" s="113"/>
      <c r="S37" s="211"/>
      <c r="T37" s="113"/>
      <c r="U37" s="211"/>
      <c r="V37" s="113"/>
      <c r="W37" s="31"/>
      <c r="X37" s="29"/>
      <c r="Y37" s="29"/>
      <c r="Z37" s="29"/>
      <c r="AA37" s="29"/>
    </row>
    <row r="38" spans="2:27" ht="24.95" customHeight="1">
      <c r="B38" s="30"/>
      <c r="C38" s="209" t="s">
        <v>25</v>
      </c>
      <c r="D38" s="47"/>
      <c r="E38" s="45"/>
      <c r="F38" s="45"/>
      <c r="G38" s="151"/>
      <c r="H38" s="151"/>
      <c r="I38" s="151"/>
      <c r="J38" s="151"/>
      <c r="K38" s="151"/>
      <c r="L38" s="211"/>
      <c r="M38" s="211"/>
      <c r="N38" s="211"/>
      <c r="O38" s="211"/>
      <c r="P38" s="211"/>
      <c r="Q38" s="211"/>
      <c r="R38" s="211"/>
      <c r="S38" s="211"/>
      <c r="T38" s="211"/>
      <c r="U38" s="211"/>
      <c r="V38" s="211"/>
      <c r="W38" s="31"/>
      <c r="X38" s="29"/>
      <c r="Y38" s="29"/>
      <c r="Z38" s="29"/>
      <c r="AA38" s="29"/>
    </row>
    <row r="39" spans="2:27" ht="24.95" customHeight="1">
      <c r="B39" s="30"/>
      <c r="C39" s="209"/>
      <c r="D39" s="47" t="s">
        <v>389</v>
      </c>
      <c r="E39" s="45"/>
      <c r="F39" s="45"/>
      <c r="G39" s="149"/>
      <c r="H39" s="151"/>
      <c r="I39" s="396"/>
      <c r="J39" s="782"/>
      <c r="K39" s="151"/>
      <c r="L39" s="113"/>
      <c r="M39" s="211"/>
      <c r="N39" s="113"/>
      <c r="O39" s="211"/>
      <c r="P39" s="113"/>
      <c r="Q39" s="211"/>
      <c r="R39" s="113"/>
      <c r="S39" s="211"/>
      <c r="T39" s="113"/>
      <c r="U39" s="211"/>
      <c r="V39" s="113"/>
      <c r="W39" s="31"/>
      <c r="X39" s="29"/>
      <c r="Y39" s="29"/>
      <c r="Z39" s="29"/>
      <c r="AA39" s="29"/>
    </row>
    <row r="40" spans="2:27" ht="24.95" customHeight="1">
      <c r="B40" s="30"/>
      <c r="C40" s="209"/>
      <c r="D40" s="47" t="s">
        <v>390</v>
      </c>
      <c r="E40" s="45"/>
      <c r="F40" s="45"/>
      <c r="G40" s="149"/>
      <c r="H40" s="151"/>
      <c r="I40" s="396"/>
      <c r="J40" s="782"/>
      <c r="K40" s="151"/>
      <c r="L40" s="113"/>
      <c r="M40" s="211"/>
      <c r="N40" s="113"/>
      <c r="O40" s="211"/>
      <c r="P40" s="113"/>
      <c r="Q40" s="211"/>
      <c r="R40" s="113"/>
      <c r="S40" s="211"/>
      <c r="T40" s="113"/>
      <c r="U40" s="211"/>
      <c r="V40" s="113"/>
      <c r="W40" s="31"/>
      <c r="X40" s="29"/>
      <c r="Y40" s="29"/>
      <c r="Z40" s="29"/>
      <c r="AA40" s="29"/>
    </row>
    <row r="41" spans="2:27" ht="24.95" customHeight="1">
      <c r="B41" s="30"/>
      <c r="C41" s="209"/>
      <c r="D41" s="47" t="s">
        <v>418</v>
      </c>
      <c r="E41" s="45"/>
      <c r="F41" s="45"/>
      <c r="G41" s="149"/>
      <c r="H41" s="151"/>
      <c r="I41" s="396"/>
      <c r="J41" s="782"/>
      <c r="K41" s="151"/>
      <c r="L41" s="113"/>
      <c r="M41" s="211"/>
      <c r="N41" s="113"/>
      <c r="O41" s="211"/>
      <c r="P41" s="113"/>
      <c r="Q41" s="211"/>
      <c r="R41" s="113"/>
      <c r="S41" s="211"/>
      <c r="T41" s="113"/>
      <c r="U41" s="211"/>
      <c r="V41" s="113"/>
      <c r="W41" s="31"/>
      <c r="X41" s="29"/>
      <c r="Y41" s="29"/>
      <c r="Z41" s="29"/>
      <c r="AA41" s="29"/>
    </row>
    <row r="42" spans="2:27" ht="24.95" customHeight="1">
      <c r="B42" s="30"/>
      <c r="C42" s="209"/>
      <c r="D42" s="47" t="s">
        <v>30</v>
      </c>
      <c r="E42" s="45"/>
      <c r="F42" s="45"/>
      <c r="G42" s="150"/>
      <c r="H42" s="737"/>
      <c r="I42" s="396"/>
      <c r="J42" s="782"/>
      <c r="K42" s="737"/>
      <c r="L42" s="113"/>
      <c r="M42" s="211"/>
      <c r="N42" s="113"/>
      <c r="O42" s="211"/>
      <c r="P42" s="113"/>
      <c r="Q42" s="211"/>
      <c r="R42" s="113"/>
      <c r="S42" s="211"/>
      <c r="T42" s="113"/>
      <c r="U42" s="211"/>
      <c r="V42" s="113"/>
      <c r="W42" s="31"/>
      <c r="X42" s="29"/>
      <c r="Y42" s="29"/>
      <c r="Z42" s="29"/>
      <c r="AA42" s="29"/>
    </row>
    <row r="43" spans="2:27" ht="24.95" customHeight="1">
      <c r="B43" s="30"/>
      <c r="C43" s="29"/>
      <c r="D43" s="47" t="s">
        <v>274</v>
      </c>
      <c r="E43" s="45"/>
      <c r="F43" s="45"/>
      <c r="G43" s="149"/>
      <c r="H43" s="151"/>
      <c r="I43" s="396"/>
      <c r="J43" s="782"/>
      <c r="K43" s="151"/>
      <c r="L43" s="113"/>
      <c r="M43" s="211"/>
      <c r="N43" s="113"/>
      <c r="O43" s="211"/>
      <c r="P43" s="113"/>
      <c r="Q43" s="211"/>
      <c r="R43" s="113"/>
      <c r="S43" s="211"/>
      <c r="T43" s="113"/>
      <c r="U43" s="211"/>
      <c r="V43" s="113"/>
      <c r="W43" s="31"/>
      <c r="X43" s="29"/>
      <c r="Y43" s="29"/>
      <c r="Z43" s="29"/>
      <c r="AA43" s="29"/>
    </row>
    <row r="44" spans="2:27" ht="24.95" customHeight="1">
      <c r="B44" s="30"/>
      <c r="C44" s="209"/>
      <c r="D44" s="47" t="s">
        <v>31</v>
      </c>
      <c r="E44" s="45"/>
      <c r="F44" s="45"/>
      <c r="G44" s="149"/>
      <c r="H44" s="151"/>
      <c r="I44" s="396"/>
      <c r="J44" s="782"/>
      <c r="K44" s="151"/>
      <c r="L44" s="113"/>
      <c r="M44" s="211"/>
      <c r="N44" s="113"/>
      <c r="O44" s="211"/>
      <c r="P44" s="113"/>
      <c r="Q44" s="211"/>
      <c r="R44" s="113"/>
      <c r="S44" s="211"/>
      <c r="T44" s="113"/>
      <c r="U44" s="211"/>
      <c r="V44" s="113"/>
      <c r="W44" s="31"/>
      <c r="X44" s="29"/>
      <c r="Y44" s="29"/>
      <c r="Z44" s="29"/>
      <c r="AA44" s="29"/>
    </row>
    <row r="45" spans="2:27" ht="24.95" customHeight="1">
      <c r="B45" s="30"/>
      <c r="C45" s="209"/>
      <c r="D45" s="47" t="s">
        <v>291</v>
      </c>
      <c r="E45" s="45"/>
      <c r="F45" s="45"/>
      <c r="G45" s="149"/>
      <c r="H45" s="151"/>
      <c r="I45" s="396"/>
      <c r="J45" s="782"/>
      <c r="K45" s="151"/>
      <c r="L45" s="113"/>
      <c r="M45" s="211"/>
      <c r="N45" s="113"/>
      <c r="O45" s="211"/>
      <c r="P45" s="113"/>
      <c r="Q45" s="211"/>
      <c r="R45" s="113"/>
      <c r="S45" s="211"/>
      <c r="T45" s="113"/>
      <c r="U45" s="211"/>
      <c r="V45" s="113"/>
      <c r="W45" s="31"/>
      <c r="X45" s="29"/>
      <c r="Y45" s="29"/>
      <c r="Z45" s="29"/>
      <c r="AA45" s="29"/>
    </row>
    <row r="46" spans="2:27" ht="24.95" customHeight="1">
      <c r="B46" s="30"/>
      <c r="C46" s="209"/>
      <c r="D46" s="47" t="s">
        <v>29</v>
      </c>
      <c r="E46" s="45"/>
      <c r="F46" s="45"/>
      <c r="G46" s="149"/>
      <c r="H46" s="151"/>
      <c r="I46" s="396"/>
      <c r="J46" s="782"/>
      <c r="K46" s="151"/>
      <c r="L46" s="113"/>
      <c r="M46" s="211"/>
      <c r="N46" s="113"/>
      <c r="O46" s="211"/>
      <c r="P46" s="113"/>
      <c r="Q46" s="211"/>
      <c r="R46" s="113"/>
      <c r="S46" s="211"/>
      <c r="T46" s="113"/>
      <c r="U46" s="211"/>
      <c r="V46" s="113"/>
      <c r="W46" s="31"/>
      <c r="X46" s="29"/>
      <c r="Y46" s="29"/>
      <c r="Z46" s="29"/>
      <c r="AA46" s="29"/>
    </row>
    <row r="47" spans="2:27" ht="15" customHeight="1" thickBot="1">
      <c r="B47" s="37"/>
      <c r="C47" s="38"/>
      <c r="D47" s="38"/>
      <c r="E47" s="38"/>
      <c r="F47" s="38"/>
      <c r="G47" s="38"/>
      <c r="H47" s="38"/>
      <c r="I47" s="38"/>
      <c r="J47" s="38"/>
      <c r="K47" s="38"/>
      <c r="L47" s="38"/>
      <c r="M47" s="38"/>
      <c r="N47" s="38"/>
      <c r="O47" s="38"/>
      <c r="P47" s="38"/>
      <c r="Q47" s="38"/>
      <c r="R47" s="38"/>
      <c r="S47" s="38"/>
      <c r="T47" s="38"/>
      <c r="U47" s="38"/>
      <c r="V47" s="38"/>
      <c r="W47" s="39"/>
    </row>
    <row r="48" spans="2:27" ht="15" customHeight="1"/>
    <row r="49" ht="15" hidden="1" customHeight="1"/>
    <row r="50" ht="15" customHeight="1"/>
    <row r="51" ht="0" hidden="1" customHeight="1"/>
  </sheetData>
  <mergeCells count="5">
    <mergeCell ref="L20:V20"/>
    <mergeCell ref="G20:G23"/>
    <mergeCell ref="I20:I23"/>
    <mergeCell ref="D7:K8"/>
    <mergeCell ref="J20:J23"/>
  </mergeCells>
  <dataValidations count="21">
    <dataValidation type="list" allowBlank="1" showInputMessage="1" showErrorMessage="1" sqref="G43:H43">
      <formula1>list4_soilwater</formula1>
    </dataValidation>
    <dataValidation type="list" allowBlank="1" showInputMessage="1" showErrorMessage="1" sqref="G46:H46">
      <formula1>list4_co2</formula1>
    </dataValidation>
    <dataValidation type="list" allowBlank="1" showInputMessage="1" showErrorMessage="1" sqref="G44:H44">
      <formula1>list4_climate</formula1>
    </dataValidation>
    <dataValidation type="list" allowBlank="1" showInputMessage="1" showErrorMessage="1" sqref="G45:H45">
      <formula1>list4_energy</formula1>
    </dataValidation>
    <dataValidation type="list" allowBlank="1" showInputMessage="1" showErrorMessage="1" sqref="G42:H42">
      <formula1>list4_noise</formula1>
    </dataValidation>
    <dataValidation type="list" allowBlank="1" showInputMessage="1" showErrorMessage="1" sqref="H39:H41 G39">
      <formula1>list4_pm10</formula1>
    </dataValidation>
    <dataValidation type="list" allowBlank="1" showInputMessage="1" showErrorMessage="1" sqref="G40">
      <formula1>list4_pm2</formula1>
    </dataValidation>
    <dataValidation type="list" allowBlank="1" showInputMessage="1" showErrorMessage="1" sqref="G41">
      <formula1>list4_no2</formula1>
    </dataValidation>
    <dataValidation type="list" allowBlank="1" showInputMessage="1" showErrorMessage="1" sqref="G37:H37">
      <formula1>list4_wellbeing</formula1>
    </dataValidation>
    <dataValidation type="decimal" operator="greaterThanOrEqual" allowBlank="1" showInputMessage="1" showErrorMessage="1" error="Value should be &gt;=0" sqref="L39:L46 N39:N46 P39:P46 R39:R46 T39:T46 V39:V46 V30:V37 V25:V28 T30:T37 T25:T28 R30:R37 R25:R28 P30:P37 P25:P28 N30:N37 N25:N28 L30:L37 L25:L28">
      <formula1>0</formula1>
    </dataValidation>
    <dataValidation type="list" allowBlank="1" showInputMessage="1" showErrorMessage="1" sqref="G34:H34">
      <formula1>list4_security</formula1>
    </dataValidation>
    <dataValidation type="list" allowBlank="1" showInputMessage="1" showErrorMessage="1" sqref="G35:H35">
      <formula1>list4_physicalactivity</formula1>
    </dataValidation>
    <dataValidation type="list" allowBlank="1" showInputMessage="1" showErrorMessage="1" sqref="G36:H36">
      <formula1>list4_interaction</formula1>
    </dataValidation>
    <dataValidation type="list" allowBlank="1" showInputMessage="1" showErrorMessage="1" sqref="G26:H26">
      <formula1>list4_propertyvalues</formula1>
    </dataValidation>
    <dataValidation type="list" allowBlank="1" showInputMessage="1" showErrorMessage="1" sqref="G27:H27">
      <formula1>list4_visitsbusinesses</formula1>
    </dataValidation>
    <dataValidation type="list" allowBlank="1" showInputMessage="1" showErrorMessage="1" sqref="G28:H28">
      <formula1>list4_expenditure</formula1>
    </dataValidation>
    <dataValidation type="list" allowBlank="1" showInputMessage="1" showErrorMessage="1" sqref="H30:H33 G30">
      <formula1>list4_fatalities</formula1>
    </dataValidation>
    <dataValidation type="list" allowBlank="1" showInputMessage="1" showErrorMessage="1" sqref="G25:H25">
      <formula1>list4_transportcosts</formula1>
    </dataValidation>
    <dataValidation type="list" allowBlank="1" showInputMessage="1" showErrorMessage="1" sqref="G31">
      <formula1>list4_serious</formula1>
    </dataValidation>
    <dataValidation type="list" allowBlank="1" showInputMessage="1" showErrorMessage="1" sqref="G32">
      <formula1>list4_slight</formula1>
    </dataValidation>
    <dataValidation type="list" allowBlank="1" showInputMessage="1" showErrorMessage="1" sqref="G33">
      <formula1>list4_damage</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FF00"/>
  </sheetPr>
  <dimension ref="A1:XEY270"/>
  <sheetViews>
    <sheetView workbookViewId="0">
      <selection activeCell="D17" sqref="D17"/>
    </sheetView>
  </sheetViews>
  <sheetFormatPr defaultColWidth="0" defaultRowHeight="15" zeroHeight="1"/>
  <cols>
    <col min="1" max="1" width="38.42578125" style="1" customWidth="1"/>
    <col min="2" max="7" width="27.42578125" style="1" customWidth="1"/>
    <col min="8" max="8" width="35.42578125" style="1" customWidth="1"/>
    <col min="9" max="9" width="18.7109375" style="1" bestFit="1" customWidth="1"/>
    <col min="10" max="10" width="29" style="1" hidden="1"/>
    <col min="11" max="11" width="29.7109375" style="1" hidden="1"/>
    <col min="12" max="12" width="14.140625" style="1" hidden="1"/>
    <col min="13" max="13" width="74.42578125" style="1" hidden="1"/>
    <col min="14" max="14" width="10.28515625" style="1" hidden="1"/>
    <col min="15" max="15" width="14.140625" style="1" hidden="1"/>
    <col min="16" max="16" width="13.7109375" style="1" hidden="1"/>
    <col min="17" max="17" width="20.42578125" style="1" hidden="1"/>
    <col min="18" max="18" width="17.85546875" style="1" hidden="1"/>
    <col min="19" max="19" width="15.140625" style="1" hidden="1"/>
    <col min="20" max="20" width="13.7109375" style="1" hidden="1"/>
    <col min="21" max="21" width="12" style="1" hidden="1"/>
    <col min="22" max="22" width="31.7109375" style="1" hidden="1"/>
    <col min="23" max="16379" width="0" style="1" hidden="1"/>
    <col min="16380" max="16384" width="9.140625" style="1" hidden="1"/>
  </cols>
  <sheetData>
    <row r="1" spans="1:6" ht="18.75">
      <c r="A1" s="871" t="s">
        <v>641</v>
      </c>
    </row>
    <row r="2" spans="1:6">
      <c r="A2" s="226" t="s">
        <v>649</v>
      </c>
      <c r="B2" s="226"/>
    </row>
    <row r="3" spans="1:6" s="442" customFormat="1">
      <c r="A3" s="226" t="s">
        <v>276</v>
      </c>
      <c r="B3" s="226" t="s">
        <v>255</v>
      </c>
      <c r="C3" s="1"/>
      <c r="D3" s="1"/>
      <c r="E3" s="1"/>
    </row>
    <row r="4" spans="1:6" s="442" customFormat="1">
      <c r="A4" s="227" t="s">
        <v>650</v>
      </c>
      <c r="B4" s="227" t="s">
        <v>651</v>
      </c>
      <c r="C4" s="1"/>
      <c r="D4" s="1"/>
      <c r="E4" s="1"/>
    </row>
    <row r="5" spans="1:6">
      <c r="A5" s="230" t="s">
        <v>531</v>
      </c>
      <c r="B5" s="230" t="s">
        <v>253</v>
      </c>
    </row>
    <row r="6" spans="1:6">
      <c r="A6" s="230" t="s">
        <v>532</v>
      </c>
      <c r="B6" s="230" t="s">
        <v>277</v>
      </c>
    </row>
    <row r="7" spans="1:6">
      <c r="A7" s="230" t="s">
        <v>530</v>
      </c>
      <c r="B7" s="230" t="s">
        <v>279</v>
      </c>
    </row>
    <row r="8" spans="1:6">
      <c r="A8" s="872"/>
      <c r="B8" s="230" t="s">
        <v>252</v>
      </c>
    </row>
    <row r="9" spans="1:6">
      <c r="A9" s="872"/>
      <c r="B9" s="230" t="s">
        <v>278</v>
      </c>
    </row>
    <row r="10" spans="1:6">
      <c r="A10" s="872"/>
      <c r="B10" s="230" t="s">
        <v>280</v>
      </c>
    </row>
    <row r="11" spans="1:6">
      <c r="A11"/>
    </row>
    <row r="12" spans="1:6">
      <c r="A12" s="226" t="s">
        <v>652</v>
      </c>
      <c r="B12" s="226"/>
      <c r="C12" s="226"/>
      <c r="D12" s="226"/>
      <c r="E12" s="226"/>
      <c r="F12" s="226"/>
    </row>
    <row r="13" spans="1:6">
      <c r="A13" s="228" t="s">
        <v>15</v>
      </c>
      <c r="B13" s="228" t="s">
        <v>297</v>
      </c>
      <c r="C13" s="228" t="s">
        <v>296</v>
      </c>
      <c r="D13" s="228" t="s">
        <v>19</v>
      </c>
      <c r="E13" s="228" t="s">
        <v>16</v>
      </c>
      <c r="F13" s="228" t="s">
        <v>18</v>
      </c>
    </row>
    <row r="14" spans="1:6">
      <c r="A14" s="873" t="s">
        <v>653</v>
      </c>
      <c r="B14" s="873" t="s">
        <v>654</v>
      </c>
      <c r="C14" s="873" t="s">
        <v>658</v>
      </c>
      <c r="D14" s="873" t="s">
        <v>657</v>
      </c>
      <c r="E14" s="873" t="s">
        <v>655</v>
      </c>
      <c r="F14" s="873" t="s">
        <v>656</v>
      </c>
    </row>
    <row r="15" spans="1:6">
      <c r="A15" s="229" t="s">
        <v>422</v>
      </c>
      <c r="B15" s="229" t="s">
        <v>80</v>
      </c>
      <c r="C15" s="229" t="s">
        <v>500</v>
      </c>
      <c r="D15" s="229" t="s">
        <v>519</v>
      </c>
      <c r="E15" s="229" t="s">
        <v>526</v>
      </c>
      <c r="F15" s="229" t="s">
        <v>298</v>
      </c>
    </row>
    <row r="16" spans="1:6">
      <c r="A16" s="229" t="s">
        <v>421</v>
      </c>
      <c r="B16" s="229" t="s">
        <v>300</v>
      </c>
      <c r="C16" s="229" t="s">
        <v>414</v>
      </c>
      <c r="D16" s="229" t="s">
        <v>520</v>
      </c>
      <c r="E16" s="229" t="s">
        <v>527</v>
      </c>
      <c r="F16" s="229" t="s">
        <v>299</v>
      </c>
    </row>
    <row r="17" spans="1:6">
      <c r="A17" s="229" t="s">
        <v>292</v>
      </c>
      <c r="B17" s="229" t="s">
        <v>135</v>
      </c>
      <c r="C17" s="229" t="s">
        <v>415</v>
      </c>
      <c r="D17" s="229" t="s">
        <v>521</v>
      </c>
      <c r="E17" s="229" t="s">
        <v>306</v>
      </c>
      <c r="F17" s="229" t="s">
        <v>528</v>
      </c>
    </row>
    <row r="18" spans="1:6">
      <c r="A18" s="229"/>
      <c r="B18" s="229" t="s">
        <v>301</v>
      </c>
      <c r="C18" s="229" t="s">
        <v>416</v>
      </c>
      <c r="D18" s="229" t="s">
        <v>522</v>
      </c>
      <c r="E18" s="229" t="s">
        <v>307</v>
      </c>
      <c r="F18" s="229" t="s">
        <v>523</v>
      </c>
    </row>
    <row r="19" spans="1:6">
      <c r="A19" s="229"/>
      <c r="B19" s="229" t="s">
        <v>136</v>
      </c>
      <c r="C19" s="229" t="s">
        <v>292</v>
      </c>
      <c r="D19" s="229" t="s">
        <v>525</v>
      </c>
      <c r="E19" s="229" t="s">
        <v>308</v>
      </c>
      <c r="F19" s="229" t="s">
        <v>292</v>
      </c>
    </row>
    <row r="20" spans="1:6">
      <c r="A20" s="229"/>
      <c r="B20" s="229" t="s">
        <v>292</v>
      </c>
      <c r="C20" s="229"/>
      <c r="D20" s="229" t="s">
        <v>302</v>
      </c>
      <c r="E20" s="229" t="s">
        <v>309</v>
      </c>
      <c r="F20" s="229"/>
    </row>
    <row r="21" spans="1:6">
      <c r="A21" s="229"/>
      <c r="B21" s="229"/>
      <c r="C21" s="229"/>
      <c r="D21" s="229" t="s">
        <v>303</v>
      </c>
      <c r="E21" s="229" t="s">
        <v>310</v>
      </c>
      <c r="F21" s="229"/>
    </row>
    <row r="22" spans="1:6">
      <c r="A22" s="229"/>
      <c r="B22" s="229"/>
      <c r="C22" s="229"/>
      <c r="D22" s="229" t="s">
        <v>134</v>
      </c>
      <c r="E22" s="229" t="s">
        <v>311</v>
      </c>
      <c r="F22" s="229"/>
    </row>
    <row r="23" spans="1:6">
      <c r="A23" s="229"/>
      <c r="B23" s="229"/>
      <c r="C23" s="229"/>
      <c r="D23" s="229" t="s">
        <v>159</v>
      </c>
      <c r="E23" s="229" t="s">
        <v>312</v>
      </c>
      <c r="F23" s="229"/>
    </row>
    <row r="24" spans="1:6">
      <c r="A24" s="229"/>
      <c r="B24" s="229"/>
      <c r="C24" s="229"/>
      <c r="D24" s="229" t="s">
        <v>304</v>
      </c>
      <c r="E24" s="229" t="s">
        <v>313</v>
      </c>
      <c r="F24" s="229"/>
    </row>
    <row r="25" spans="1:6">
      <c r="A25" s="229"/>
      <c r="B25" s="229"/>
      <c r="C25" s="229"/>
      <c r="D25" s="229" t="s">
        <v>292</v>
      </c>
      <c r="E25" s="229" t="s">
        <v>292</v>
      </c>
      <c r="F25" s="229"/>
    </row>
    <row r="26" spans="1:6"/>
    <row r="27" spans="1:6">
      <c r="A27" s="226" t="s">
        <v>642</v>
      </c>
      <c r="B27" s="226"/>
      <c r="C27" s="226"/>
      <c r="D27" s="226"/>
      <c r="E27" s="226"/>
      <c r="F27" s="226"/>
    </row>
    <row r="28" spans="1:6">
      <c r="A28" s="226" t="s">
        <v>643</v>
      </c>
      <c r="B28" s="226" t="s">
        <v>644</v>
      </c>
      <c r="C28" s="226" t="s">
        <v>645</v>
      </c>
      <c r="D28" s="226" t="s">
        <v>646</v>
      </c>
      <c r="E28" s="226" t="s">
        <v>647</v>
      </c>
      <c r="F28" s="226" t="s">
        <v>648</v>
      </c>
    </row>
    <row r="29" spans="1:6">
      <c r="A29" s="227" t="s">
        <v>659</v>
      </c>
      <c r="B29" s="227" t="s">
        <v>660</v>
      </c>
      <c r="C29" s="227" t="s">
        <v>661</v>
      </c>
      <c r="D29" s="227" t="s">
        <v>662</v>
      </c>
      <c r="E29" s="227" t="s">
        <v>663</v>
      </c>
      <c r="F29" s="227" t="s">
        <v>664</v>
      </c>
    </row>
    <row r="30" spans="1:6">
      <c r="A30" s="229" t="s">
        <v>770</v>
      </c>
      <c r="B30" s="229" t="s">
        <v>316</v>
      </c>
      <c r="C30" s="229" t="s">
        <v>314</v>
      </c>
      <c r="D30" s="229" t="s">
        <v>769</v>
      </c>
      <c r="E30" s="229" t="s">
        <v>81</v>
      </c>
      <c r="F30" s="229" t="s">
        <v>524</v>
      </c>
    </row>
    <row r="31" spans="1:6">
      <c r="A31" s="229" t="s">
        <v>771</v>
      </c>
      <c r="B31" s="229" t="s">
        <v>81</v>
      </c>
      <c r="C31" s="229" t="s">
        <v>315</v>
      </c>
      <c r="D31" s="229" t="s">
        <v>292</v>
      </c>
      <c r="E31" s="229" t="s">
        <v>137</v>
      </c>
      <c r="F31" s="229" t="s">
        <v>292</v>
      </c>
    </row>
    <row r="32" spans="1:6">
      <c r="A32" s="229" t="s">
        <v>769</v>
      </c>
      <c r="B32" s="229" t="s">
        <v>292</v>
      </c>
      <c r="C32" s="229" t="s">
        <v>317</v>
      </c>
      <c r="D32" s="229"/>
      <c r="E32" s="229" t="s">
        <v>292</v>
      </c>
      <c r="F32" s="229"/>
    </row>
    <row r="33" spans="1:6">
      <c r="A33" s="229" t="s">
        <v>772</v>
      </c>
      <c r="B33" s="229"/>
      <c r="C33" s="229" t="s">
        <v>318</v>
      </c>
      <c r="D33" s="229"/>
      <c r="E33" s="229"/>
      <c r="F33" s="229"/>
    </row>
    <row r="34" spans="1:6">
      <c r="A34" s="229" t="s">
        <v>292</v>
      </c>
      <c r="B34" s="229"/>
      <c r="C34" s="229" t="s">
        <v>524</v>
      </c>
      <c r="D34" s="229"/>
      <c r="E34" s="229"/>
      <c r="F34" s="229"/>
    </row>
    <row r="35" spans="1:6">
      <c r="A35" s="229"/>
      <c r="B35" s="229"/>
      <c r="C35" s="229" t="s">
        <v>292</v>
      </c>
      <c r="D35" s="229"/>
      <c r="E35" s="229"/>
      <c r="F35" s="229"/>
    </row>
    <row r="36" spans="1:6">
      <c r="A36" s="229"/>
      <c r="B36" s="229"/>
      <c r="C36" s="229"/>
      <c r="D36" s="229"/>
      <c r="E36" s="229"/>
      <c r="F36" s="229"/>
    </row>
    <row r="37" spans="1:6">
      <c r="A37" s="229"/>
      <c r="B37" s="229"/>
      <c r="C37" s="229"/>
      <c r="D37" s="229"/>
      <c r="E37" s="229"/>
      <c r="F37" s="229"/>
    </row>
    <row r="38" spans="1:6">
      <c r="A38" s="229"/>
      <c r="B38" s="229"/>
      <c r="C38" s="229"/>
      <c r="D38" s="229"/>
      <c r="E38" s="229"/>
      <c r="F38" s="229"/>
    </row>
    <row r="39" spans="1:6">
      <c r="A39" s="229"/>
      <c r="B39" s="229"/>
      <c r="C39" s="229"/>
      <c r="D39" s="229"/>
      <c r="E39" s="229"/>
      <c r="F39" s="229"/>
    </row>
    <row r="40" spans="1:6"/>
    <row r="41" spans="1:6">
      <c r="A41" s="226" t="s">
        <v>665</v>
      </c>
      <c r="B41" s="226"/>
      <c r="C41" s="226"/>
    </row>
    <row r="42" spans="1:6" s="874" customFormat="1">
      <c r="A42" s="227" t="s">
        <v>666</v>
      </c>
      <c r="B42" s="227" t="s">
        <v>667</v>
      </c>
      <c r="C42" s="227" t="s">
        <v>668</v>
      </c>
    </row>
    <row r="43" spans="1:6">
      <c r="A43" s="229" t="s">
        <v>282</v>
      </c>
      <c r="B43" s="229" t="s">
        <v>138</v>
      </c>
      <c r="C43" s="229" t="s">
        <v>89</v>
      </c>
    </row>
    <row r="44" spans="1:6">
      <c r="A44" s="229" t="s">
        <v>292</v>
      </c>
      <c r="B44" s="229" t="s">
        <v>139</v>
      </c>
      <c r="C44" s="229" t="s">
        <v>285</v>
      </c>
    </row>
    <row r="45" spans="1:6">
      <c r="A45" s="229"/>
      <c r="B45" s="229" t="s">
        <v>140</v>
      </c>
      <c r="C45" s="229" t="s">
        <v>292</v>
      </c>
    </row>
    <row r="46" spans="1:6">
      <c r="A46" s="229"/>
      <c r="B46" s="229" t="s">
        <v>515</v>
      </c>
      <c r="C46" s="229"/>
    </row>
    <row r="47" spans="1:6">
      <c r="A47" s="229"/>
      <c r="B47" s="229" t="s">
        <v>292</v>
      </c>
      <c r="C47" s="229"/>
    </row>
    <row r="48" spans="1:6">
      <c r="A48" s="229"/>
      <c r="B48" s="229"/>
      <c r="C48" s="229"/>
    </row>
    <row r="49" spans="1:11">
      <c r="A49" s="229"/>
      <c r="B49" s="229"/>
      <c r="C49" s="229"/>
    </row>
    <row r="50" spans="1:11">
      <c r="A50" s="229"/>
      <c r="B50" s="229"/>
      <c r="C50" s="229"/>
    </row>
    <row r="51" spans="1:11">
      <c r="A51" s="229"/>
      <c r="B51" s="229"/>
      <c r="C51" s="229"/>
    </row>
    <row r="52" spans="1:11">
      <c r="A52" s="229"/>
      <c r="B52" s="229"/>
      <c r="C52" s="229"/>
    </row>
    <row r="53" spans="1:11"/>
    <row r="54" spans="1:11">
      <c r="A54" s="226" t="s">
        <v>669</v>
      </c>
      <c r="B54" s="226"/>
      <c r="C54" s="226"/>
      <c r="D54" s="226"/>
      <c r="E54" s="226"/>
      <c r="F54" s="226"/>
      <c r="G54" s="226"/>
      <c r="H54" s="226"/>
      <c r="I54" s="226"/>
      <c r="J54" s="226"/>
      <c r="K54" s="226"/>
    </row>
    <row r="55" spans="1:11">
      <c r="A55" s="226" t="s">
        <v>23</v>
      </c>
      <c r="B55" s="226" t="s">
        <v>376</v>
      </c>
      <c r="C55" s="226" t="s">
        <v>378</v>
      </c>
      <c r="D55" s="226" t="s">
        <v>379</v>
      </c>
      <c r="E55" s="226" t="s">
        <v>377</v>
      </c>
      <c r="F55" s="226" t="s">
        <v>27</v>
      </c>
      <c r="G55" s="226" t="s">
        <v>28</v>
      </c>
      <c r="H55" s="226" t="s">
        <v>26</v>
      </c>
      <c r="I55" s="226" t="s">
        <v>270</v>
      </c>
      <c r="J55" s="226" t="s">
        <v>283</v>
      </c>
      <c r="K55" s="226" t="s">
        <v>272</v>
      </c>
    </row>
    <row r="56" spans="1:11">
      <c r="A56" s="227" t="s">
        <v>671</v>
      </c>
      <c r="B56" s="227" t="s">
        <v>672</v>
      </c>
      <c r="C56" s="227" t="s">
        <v>673</v>
      </c>
      <c r="D56" s="227" t="s">
        <v>674</v>
      </c>
      <c r="E56" s="227" t="s">
        <v>675</v>
      </c>
      <c r="F56" s="227" t="s">
        <v>676</v>
      </c>
      <c r="G56" s="227" t="s">
        <v>677</v>
      </c>
      <c r="H56" s="227" t="s">
        <v>678</v>
      </c>
      <c r="I56" s="227" t="s">
        <v>679</v>
      </c>
      <c r="J56" s="226"/>
      <c r="K56" s="226"/>
    </row>
    <row r="57" spans="1:11">
      <c r="A57" s="229" t="s">
        <v>386</v>
      </c>
      <c r="B57" s="229" t="s">
        <v>142</v>
      </c>
      <c r="C57" s="229" t="s">
        <v>380</v>
      </c>
      <c r="D57" s="229" t="s">
        <v>381</v>
      </c>
      <c r="E57" s="229" t="s">
        <v>143</v>
      </c>
      <c r="F57" s="229" t="s">
        <v>144</v>
      </c>
      <c r="G57" s="229" t="s">
        <v>160</v>
      </c>
      <c r="H57" s="229" t="s">
        <v>698</v>
      </c>
      <c r="I57" s="229" t="s">
        <v>292</v>
      </c>
      <c r="J57" s="229" t="s">
        <v>149</v>
      </c>
      <c r="K57" s="229" t="s">
        <v>292</v>
      </c>
    </row>
    <row r="58" spans="1:11">
      <c r="A58" s="229" t="s">
        <v>387</v>
      </c>
      <c r="B58" s="229" t="s">
        <v>292</v>
      </c>
      <c r="C58" s="229" t="s">
        <v>292</v>
      </c>
      <c r="D58" s="229" t="s">
        <v>292</v>
      </c>
      <c r="E58" s="229" t="s">
        <v>292</v>
      </c>
      <c r="F58" s="229" t="s">
        <v>145</v>
      </c>
      <c r="G58" s="229" t="s">
        <v>292</v>
      </c>
      <c r="H58" s="229" t="s">
        <v>292</v>
      </c>
      <c r="I58" s="229"/>
      <c r="J58" s="229" t="s">
        <v>150</v>
      </c>
      <c r="K58" s="229"/>
    </row>
    <row r="59" spans="1:11">
      <c r="A59" s="229" t="s">
        <v>388</v>
      </c>
      <c r="B59" s="229"/>
      <c r="C59" s="229"/>
      <c r="D59" s="229"/>
      <c r="E59" s="229"/>
      <c r="F59" s="229" t="s">
        <v>146</v>
      </c>
      <c r="G59" s="229"/>
      <c r="H59" s="231" t="s">
        <v>151</v>
      </c>
      <c r="I59" s="231"/>
      <c r="J59" s="229" t="s">
        <v>292</v>
      </c>
      <c r="K59" s="229"/>
    </row>
    <row r="60" spans="1:11">
      <c r="A60" s="229" t="s">
        <v>292</v>
      </c>
      <c r="B60" s="229"/>
      <c r="C60" s="229"/>
      <c r="D60" s="229"/>
      <c r="E60" s="229"/>
      <c r="F60" s="229" t="s">
        <v>147</v>
      </c>
      <c r="G60" s="229"/>
      <c r="H60" s="231" t="s">
        <v>151</v>
      </c>
      <c r="I60" s="231"/>
      <c r="J60" s="231" t="s">
        <v>151</v>
      </c>
      <c r="K60" s="231"/>
    </row>
    <row r="61" spans="1:11">
      <c r="A61" s="229"/>
      <c r="B61" s="229"/>
      <c r="C61" s="229"/>
      <c r="D61" s="229"/>
      <c r="E61" s="229"/>
      <c r="F61" s="229" t="s">
        <v>148</v>
      </c>
      <c r="G61" s="229"/>
      <c r="H61" s="231" t="s">
        <v>151</v>
      </c>
      <c r="I61" s="231"/>
      <c r="J61" s="231" t="s">
        <v>151</v>
      </c>
      <c r="K61" s="231"/>
    </row>
    <row r="62" spans="1:11">
      <c r="A62" s="229"/>
      <c r="B62" s="229"/>
      <c r="C62" s="229"/>
      <c r="D62" s="229"/>
      <c r="E62" s="229"/>
      <c r="F62" s="229" t="s">
        <v>292</v>
      </c>
      <c r="G62" s="229"/>
      <c r="H62" s="231" t="s">
        <v>151</v>
      </c>
      <c r="I62" s="231"/>
      <c r="J62" s="231" t="s">
        <v>151</v>
      </c>
      <c r="K62" s="231"/>
    </row>
    <row r="63" spans="1:11">
      <c r="A63" s="229"/>
      <c r="B63" s="229"/>
      <c r="C63" s="229"/>
      <c r="D63" s="229"/>
      <c r="E63" s="231" t="s">
        <v>151</v>
      </c>
      <c r="F63" s="231"/>
      <c r="G63" s="231" t="s">
        <v>151</v>
      </c>
      <c r="H63" s="231"/>
      <c r="I63" s="231"/>
      <c r="J63" s="229"/>
      <c r="K63" s="229"/>
    </row>
    <row r="64" spans="1:11">
      <c r="A64" s="229"/>
      <c r="B64" s="229"/>
      <c r="C64" s="229"/>
      <c r="D64" s="229"/>
      <c r="E64" s="231" t="s">
        <v>151</v>
      </c>
      <c r="F64" s="231"/>
      <c r="G64" s="231" t="s">
        <v>151</v>
      </c>
      <c r="H64" s="231"/>
      <c r="I64" s="231"/>
      <c r="J64" s="229"/>
      <c r="K64" s="229"/>
    </row>
    <row r="65" spans="1:11">
      <c r="A65" s="229"/>
      <c r="B65" s="229"/>
      <c r="C65" s="229"/>
      <c r="D65" s="229"/>
      <c r="E65" s="231" t="s">
        <v>151</v>
      </c>
      <c r="F65" s="231"/>
      <c r="G65" s="231" t="s">
        <v>151</v>
      </c>
      <c r="H65" s="231"/>
      <c r="I65" s="231"/>
      <c r="J65" s="229"/>
      <c r="K65" s="229"/>
    </row>
    <row r="66" spans="1:11">
      <c r="A66" s="229"/>
      <c r="B66" s="229"/>
      <c r="C66" s="229"/>
      <c r="D66" s="229"/>
      <c r="E66" s="231" t="s">
        <v>151</v>
      </c>
      <c r="F66" s="231"/>
      <c r="G66" s="231" t="s">
        <v>151</v>
      </c>
      <c r="H66" s="231"/>
      <c r="I66" s="231"/>
      <c r="J66" s="229"/>
      <c r="K66" s="229"/>
    </row>
    <row r="67" spans="1:11"/>
    <row r="68" spans="1:11">
      <c r="A68" s="226" t="s">
        <v>670</v>
      </c>
      <c r="B68" s="226"/>
      <c r="C68" s="226"/>
      <c r="D68" s="226"/>
      <c r="E68" s="226"/>
      <c r="F68" s="226"/>
      <c r="G68" s="226"/>
      <c r="H68" s="226"/>
      <c r="I68" s="226"/>
    </row>
    <row r="69" spans="1:11">
      <c r="A69" s="226" t="s">
        <v>273</v>
      </c>
      <c r="B69" s="226" t="s">
        <v>389</v>
      </c>
      <c r="C69" s="226" t="s">
        <v>390</v>
      </c>
      <c r="D69" s="226" t="s">
        <v>418</v>
      </c>
      <c r="E69" s="226" t="s">
        <v>30</v>
      </c>
      <c r="F69" s="226" t="s">
        <v>274</v>
      </c>
      <c r="G69" s="226" t="s">
        <v>31</v>
      </c>
      <c r="H69" s="226" t="s">
        <v>291</v>
      </c>
      <c r="I69" s="226" t="s">
        <v>284</v>
      </c>
    </row>
    <row r="70" spans="1:11">
      <c r="A70" s="227" t="s">
        <v>680</v>
      </c>
      <c r="B70" s="227" t="s">
        <v>681</v>
      </c>
      <c r="C70" s="227" t="s">
        <v>682</v>
      </c>
      <c r="D70" s="227" t="s">
        <v>683</v>
      </c>
      <c r="E70" s="227" t="s">
        <v>684</v>
      </c>
      <c r="F70" s="227" t="s">
        <v>685</v>
      </c>
      <c r="G70" s="227" t="s">
        <v>686</v>
      </c>
      <c r="H70" s="227" t="s">
        <v>687</v>
      </c>
      <c r="I70" s="227" t="s">
        <v>688</v>
      </c>
    </row>
    <row r="71" spans="1:11">
      <c r="A71" s="229" t="s">
        <v>550</v>
      </c>
      <c r="B71" s="229" t="s">
        <v>752</v>
      </c>
      <c r="C71" s="229" t="s">
        <v>753</v>
      </c>
      <c r="D71" s="229" t="s">
        <v>754</v>
      </c>
      <c r="E71" s="229" t="s">
        <v>394</v>
      </c>
      <c r="F71" s="229" t="s">
        <v>292</v>
      </c>
      <c r="G71" s="229" t="s">
        <v>292</v>
      </c>
      <c r="H71" s="229" t="s">
        <v>305</v>
      </c>
      <c r="I71" s="229" t="s">
        <v>756</v>
      </c>
    </row>
    <row r="72" spans="1:11">
      <c r="A72" s="229" t="s">
        <v>292</v>
      </c>
      <c r="B72" s="229" t="s">
        <v>292</v>
      </c>
      <c r="C72" s="229" t="s">
        <v>292</v>
      </c>
      <c r="D72" s="229" t="s">
        <v>292</v>
      </c>
      <c r="E72" s="229" t="s">
        <v>292</v>
      </c>
      <c r="F72" s="229"/>
      <c r="G72" s="229"/>
      <c r="H72" s="229" t="s">
        <v>292</v>
      </c>
      <c r="I72" s="229" t="s">
        <v>292</v>
      </c>
    </row>
    <row r="73" spans="1:11">
      <c r="A73" s="229"/>
      <c r="B73" s="229"/>
      <c r="C73" s="229"/>
      <c r="D73" s="229"/>
      <c r="E73" s="229"/>
      <c r="F73" s="229"/>
      <c r="G73" s="229"/>
      <c r="H73" s="229"/>
      <c r="I73" s="229"/>
    </row>
    <row r="74" spans="1:11">
      <c r="A74" s="231"/>
      <c r="B74" s="229"/>
      <c r="C74" s="229"/>
      <c r="D74" s="229"/>
      <c r="E74" s="229"/>
      <c r="F74" s="229"/>
      <c r="G74" s="229"/>
      <c r="H74" s="229"/>
      <c r="I74" s="229"/>
    </row>
    <row r="75" spans="1:11">
      <c r="A75" s="231"/>
      <c r="B75" s="229"/>
      <c r="C75" s="229"/>
      <c r="D75" s="229"/>
      <c r="E75" s="229"/>
      <c r="F75" s="229"/>
      <c r="G75" s="229"/>
      <c r="H75" s="229"/>
      <c r="I75" s="229"/>
    </row>
    <row r="76" spans="1:11">
      <c r="A76" s="231"/>
      <c r="B76" s="229"/>
      <c r="C76" s="229"/>
      <c r="D76" s="229"/>
      <c r="E76" s="229"/>
      <c r="F76" s="229"/>
      <c r="G76" s="229"/>
      <c r="H76" s="229"/>
      <c r="I76" s="229"/>
    </row>
    <row r="77" spans="1:11">
      <c r="A77" s="229"/>
      <c r="B77" s="229"/>
      <c r="C77" s="229"/>
      <c r="D77" s="229"/>
      <c r="E77" s="229"/>
      <c r="F77" s="229"/>
      <c r="G77" s="229"/>
      <c r="H77" s="229"/>
      <c r="I77" s="229"/>
    </row>
    <row r="78" spans="1:11">
      <c r="A78" s="229"/>
      <c r="B78" s="229"/>
      <c r="C78" s="229"/>
      <c r="D78" s="229"/>
      <c r="E78" s="229"/>
      <c r="F78" s="229"/>
      <c r="G78" s="229"/>
      <c r="H78" s="229"/>
      <c r="I78" s="229"/>
    </row>
    <row r="79" spans="1:11">
      <c r="A79" s="229"/>
      <c r="B79" s="229"/>
      <c r="C79" s="229"/>
      <c r="D79" s="229"/>
      <c r="E79" s="229"/>
      <c r="F79" s="229"/>
      <c r="G79" s="229"/>
      <c r="H79" s="229"/>
      <c r="I79" s="229"/>
    </row>
    <row r="80" spans="1:11">
      <c r="A80" s="229"/>
      <c r="B80" s="229"/>
      <c r="C80" s="229"/>
      <c r="D80" s="229"/>
      <c r="E80" s="229"/>
      <c r="F80" s="229"/>
      <c r="G80" s="229"/>
      <c r="H80" s="229"/>
      <c r="I80" s="229"/>
    </row>
    <row r="81" spans="1:3"/>
    <row r="82" spans="1:3">
      <c r="A82" s="17" t="s">
        <v>691</v>
      </c>
      <c r="B82" s="17" t="s">
        <v>692</v>
      </c>
    </row>
    <row r="83" spans="1:3">
      <c r="A83" s="793" t="s">
        <v>689</v>
      </c>
      <c r="B83" s="793" t="s">
        <v>690</v>
      </c>
    </row>
    <row r="84" spans="1:3">
      <c r="A84" s="230">
        <v>0</v>
      </c>
      <c r="B84" s="230">
        <v>3</v>
      </c>
    </row>
    <row r="85" spans="1:3">
      <c r="A85" s="230">
        <v>1</v>
      </c>
      <c r="B85" s="230">
        <v>2</v>
      </c>
    </row>
    <row r="86" spans="1:3">
      <c r="A86" s="230">
        <v>2</v>
      </c>
      <c r="B86" s="230">
        <v>1</v>
      </c>
    </row>
    <row r="87" spans="1:3"/>
    <row r="88" spans="1:3">
      <c r="A88" s="17" t="s">
        <v>332</v>
      </c>
    </row>
    <row r="89" spans="1:3">
      <c r="A89" s="833" t="s">
        <v>717</v>
      </c>
      <c r="B89" s="792">
        <v>4</v>
      </c>
      <c r="C89" s="792"/>
    </row>
    <row r="90" spans="1:3">
      <c r="A90" s="833" t="s">
        <v>714</v>
      </c>
      <c r="B90" s="792">
        <v>4</v>
      </c>
      <c r="C90" s="792"/>
    </row>
    <row r="91" spans="1:3">
      <c r="A91" s="833" t="s">
        <v>722</v>
      </c>
      <c r="B91" s="792">
        <v>6</v>
      </c>
      <c r="C91" s="792"/>
    </row>
    <row r="92" spans="1:3">
      <c r="A92" s="833" t="s">
        <v>718</v>
      </c>
      <c r="B92" s="792">
        <v>6</v>
      </c>
      <c r="C92" s="792"/>
    </row>
    <row r="93" spans="1:3">
      <c r="A93" s="833" t="s">
        <v>721</v>
      </c>
      <c r="B93" s="792">
        <v>2.5</v>
      </c>
      <c r="C93" s="792"/>
    </row>
    <row r="94" spans="1:3">
      <c r="A94" s="833" t="s">
        <v>720</v>
      </c>
      <c r="B94" s="792">
        <v>2.5</v>
      </c>
      <c r="C94" s="792"/>
    </row>
    <row r="95" spans="1:3">
      <c r="A95" s="833" t="s">
        <v>719</v>
      </c>
      <c r="B95" s="792">
        <v>2.5</v>
      </c>
      <c r="C95" s="792"/>
    </row>
    <row r="96" spans="1:3">
      <c r="A96" s="833" t="s">
        <v>716</v>
      </c>
      <c r="B96" s="792">
        <v>2</v>
      </c>
      <c r="C96" s="792"/>
    </row>
    <row r="97" spans="1:7">
      <c r="A97" s="833" t="s">
        <v>634</v>
      </c>
      <c r="B97" s="792">
        <v>50</v>
      </c>
      <c r="C97" s="792" t="s">
        <v>333</v>
      </c>
      <c r="D97" s="1" t="s">
        <v>391</v>
      </c>
    </row>
    <row r="98" spans="1:7">
      <c r="A98" s="833" t="s">
        <v>635</v>
      </c>
      <c r="B98" s="792">
        <v>25</v>
      </c>
      <c r="C98" s="792" t="s">
        <v>333</v>
      </c>
    </row>
    <row r="99" spans="1:7">
      <c r="A99" s="833" t="s">
        <v>636</v>
      </c>
      <c r="B99" s="792">
        <v>40</v>
      </c>
      <c r="C99" s="792" t="s">
        <v>333</v>
      </c>
    </row>
    <row r="100" spans="1:7">
      <c r="A100" s="833" t="s">
        <v>715</v>
      </c>
      <c r="B100" s="792">
        <v>55</v>
      </c>
      <c r="C100" s="792" t="s">
        <v>723</v>
      </c>
    </row>
    <row r="101" spans="1:7"/>
    <row r="102" spans="1:7">
      <c r="A102" s="793" t="s">
        <v>637</v>
      </c>
    </row>
    <row r="103" spans="1:7">
      <c r="A103" s="793" t="s">
        <v>638</v>
      </c>
      <c r="B103" s="17" t="s">
        <v>349</v>
      </c>
      <c r="C103" s="17" t="s">
        <v>350</v>
      </c>
      <c r="D103" s="17" t="s">
        <v>369</v>
      </c>
    </row>
    <row r="104" spans="1:7">
      <c r="A104" s="792" t="s">
        <v>88</v>
      </c>
      <c r="B104" s="792" t="s">
        <v>121</v>
      </c>
      <c r="C104" s="792" t="s">
        <v>354</v>
      </c>
      <c r="D104" s="792">
        <v>9</v>
      </c>
    </row>
    <row r="105" spans="1:7">
      <c r="A105" s="792" t="s">
        <v>345</v>
      </c>
      <c r="B105" s="792" t="s">
        <v>129</v>
      </c>
      <c r="C105" s="792" t="s">
        <v>356</v>
      </c>
      <c r="D105" s="792">
        <v>11</v>
      </c>
    </row>
    <row r="106" spans="1:7">
      <c r="A106" s="792" t="s">
        <v>346</v>
      </c>
      <c r="B106" s="792" t="s">
        <v>351</v>
      </c>
      <c r="C106" s="792" t="s">
        <v>355</v>
      </c>
      <c r="D106" s="792">
        <v>10</v>
      </c>
    </row>
    <row r="107" spans="1:7">
      <c r="A107" s="792" t="s">
        <v>347</v>
      </c>
      <c r="B107" s="792" t="s">
        <v>352</v>
      </c>
      <c r="C107" s="792" t="s">
        <v>357</v>
      </c>
      <c r="D107" s="792">
        <v>12</v>
      </c>
    </row>
    <row r="108" spans="1:7">
      <c r="A108" s="792" t="s">
        <v>348</v>
      </c>
      <c r="B108" s="792" t="s">
        <v>353</v>
      </c>
      <c r="C108" s="792" t="s">
        <v>358</v>
      </c>
      <c r="D108" s="792">
        <v>13</v>
      </c>
    </row>
    <row r="109" spans="1:7"/>
    <row r="110" spans="1:7">
      <c r="A110" s="17" t="s">
        <v>626</v>
      </c>
    </row>
    <row r="111" spans="1:7">
      <c r="A111" s="793" t="s">
        <v>639</v>
      </c>
    </row>
    <row r="112" spans="1:7" ht="15.75" thickBot="1">
      <c r="A112" s="17"/>
      <c r="B112" s="17" t="s">
        <v>538</v>
      </c>
      <c r="C112" s="17" t="s">
        <v>541</v>
      </c>
      <c r="D112" s="17" t="s">
        <v>542</v>
      </c>
      <c r="E112" s="17" t="s">
        <v>297</v>
      </c>
      <c r="F112" s="17" t="s">
        <v>534</v>
      </c>
      <c r="G112" s="17" t="s">
        <v>544</v>
      </c>
    </row>
    <row r="113" spans="1:7">
      <c r="A113" s="834" t="str">
        <f t="shared" ref="A113:A144" si="0">B113&amp;C113&amp;D113&amp;E113</f>
        <v>1WideLow10</v>
      </c>
      <c r="B113" s="835">
        <v>1</v>
      </c>
      <c r="C113" s="835" t="s">
        <v>535</v>
      </c>
      <c r="D113" s="835" t="s">
        <v>536</v>
      </c>
      <c r="E113" s="835">
        <v>10</v>
      </c>
      <c r="F113" s="835">
        <v>0</v>
      </c>
      <c r="G113" s="836">
        <v>0</v>
      </c>
    </row>
    <row r="114" spans="1:7">
      <c r="A114" s="837" t="str">
        <f t="shared" si="0"/>
        <v>1WideLow20</v>
      </c>
      <c r="B114" s="838">
        <v>1</v>
      </c>
      <c r="C114" s="838" t="s">
        <v>535</v>
      </c>
      <c r="D114" s="838" t="s">
        <v>536</v>
      </c>
      <c r="E114" s="838">
        <v>20</v>
      </c>
      <c r="F114" s="838">
        <v>0</v>
      </c>
      <c r="G114" s="839">
        <v>0</v>
      </c>
    </row>
    <row r="115" spans="1:7">
      <c r="A115" s="837" t="str">
        <f t="shared" si="0"/>
        <v>1WideLow30</v>
      </c>
      <c r="B115" s="838">
        <v>1</v>
      </c>
      <c r="C115" s="838" t="s">
        <v>535</v>
      </c>
      <c r="D115" s="838" t="s">
        <v>536</v>
      </c>
      <c r="E115" s="838">
        <v>30</v>
      </c>
      <c r="F115" s="838">
        <v>3</v>
      </c>
      <c r="G115" s="839">
        <v>0</v>
      </c>
    </row>
    <row r="116" spans="1:7">
      <c r="A116" s="837" t="str">
        <f t="shared" si="0"/>
        <v>1WideLow40</v>
      </c>
      <c r="B116" s="838">
        <v>1</v>
      </c>
      <c r="C116" s="838" t="s">
        <v>535</v>
      </c>
      <c r="D116" s="838" t="s">
        <v>536</v>
      </c>
      <c r="E116" s="838">
        <v>40</v>
      </c>
      <c r="F116" s="838">
        <v>17</v>
      </c>
      <c r="G116" s="839">
        <v>0.37</v>
      </c>
    </row>
    <row r="117" spans="1:7">
      <c r="A117" s="837" t="str">
        <f t="shared" si="0"/>
        <v>1WideMedium10</v>
      </c>
      <c r="B117" s="838">
        <v>1</v>
      </c>
      <c r="C117" s="838" t="s">
        <v>535</v>
      </c>
      <c r="D117" s="838" t="s">
        <v>539</v>
      </c>
      <c r="E117" s="838">
        <v>10</v>
      </c>
      <c r="F117" s="838">
        <v>22</v>
      </c>
      <c r="G117" s="839">
        <v>0.52</v>
      </c>
    </row>
    <row r="118" spans="1:7">
      <c r="A118" s="837" t="str">
        <f t="shared" si="0"/>
        <v>1WideMedium20</v>
      </c>
      <c r="B118" s="838">
        <v>1</v>
      </c>
      <c r="C118" s="838" t="s">
        <v>535</v>
      </c>
      <c r="D118" s="838" t="s">
        <v>539</v>
      </c>
      <c r="E118" s="838">
        <v>20</v>
      </c>
      <c r="F118" s="838">
        <v>22</v>
      </c>
      <c r="G118" s="839">
        <v>0.52</v>
      </c>
    </row>
    <row r="119" spans="1:7">
      <c r="A119" s="837" t="str">
        <f t="shared" si="0"/>
        <v>1WideMedium30</v>
      </c>
      <c r="B119" s="838">
        <v>1</v>
      </c>
      <c r="C119" s="838" t="s">
        <v>535</v>
      </c>
      <c r="D119" s="838" t="s">
        <v>539</v>
      </c>
      <c r="E119" s="838">
        <v>30</v>
      </c>
      <c r="F119" s="838">
        <v>24</v>
      </c>
      <c r="G119" s="839">
        <v>0.57999999999999996</v>
      </c>
    </row>
    <row r="120" spans="1:7">
      <c r="A120" s="837" t="str">
        <f t="shared" si="0"/>
        <v>1WideMedium40</v>
      </c>
      <c r="B120" s="838">
        <v>1</v>
      </c>
      <c r="C120" s="838" t="s">
        <v>535</v>
      </c>
      <c r="D120" s="838" t="s">
        <v>539</v>
      </c>
      <c r="E120" s="838">
        <v>40</v>
      </c>
      <c r="F120" s="838">
        <v>39</v>
      </c>
      <c r="G120" s="839">
        <v>0.99</v>
      </c>
    </row>
    <row r="121" spans="1:7">
      <c r="A121" s="837" t="str">
        <f t="shared" si="0"/>
        <v>1WideHigh10</v>
      </c>
      <c r="B121" s="838">
        <v>1</v>
      </c>
      <c r="C121" s="838" t="s">
        <v>535</v>
      </c>
      <c r="D121" s="838" t="s">
        <v>540</v>
      </c>
      <c r="E121" s="838">
        <v>10</v>
      </c>
      <c r="F121" s="838">
        <v>32</v>
      </c>
      <c r="G121" s="839">
        <v>0.82</v>
      </c>
    </row>
    <row r="122" spans="1:7">
      <c r="A122" s="837" t="str">
        <f t="shared" si="0"/>
        <v>1WideHigh20</v>
      </c>
      <c r="B122" s="838">
        <v>1</v>
      </c>
      <c r="C122" s="838" t="s">
        <v>535</v>
      </c>
      <c r="D122" s="838" t="s">
        <v>540</v>
      </c>
      <c r="E122" s="838">
        <v>20</v>
      </c>
      <c r="F122" s="838">
        <v>32</v>
      </c>
      <c r="G122" s="839">
        <v>0.82</v>
      </c>
    </row>
    <row r="123" spans="1:7">
      <c r="A123" s="837" t="str">
        <f t="shared" si="0"/>
        <v>1WideHigh30</v>
      </c>
      <c r="B123" s="838">
        <v>1</v>
      </c>
      <c r="C123" s="838" t="s">
        <v>535</v>
      </c>
      <c r="D123" s="838" t="s">
        <v>540</v>
      </c>
      <c r="E123" s="838">
        <v>30</v>
      </c>
      <c r="F123" s="838">
        <v>35</v>
      </c>
      <c r="G123" s="839">
        <v>0.87</v>
      </c>
    </row>
    <row r="124" spans="1:7">
      <c r="A124" s="837" t="str">
        <f t="shared" si="0"/>
        <v>1NarrowLow10</v>
      </c>
      <c r="B124" s="838">
        <v>1</v>
      </c>
      <c r="C124" s="838" t="s">
        <v>537</v>
      </c>
      <c r="D124" s="838" t="s">
        <v>536</v>
      </c>
      <c r="E124" s="838">
        <v>10</v>
      </c>
      <c r="F124" s="838">
        <v>6</v>
      </c>
      <c r="G124" s="839">
        <v>0</v>
      </c>
    </row>
    <row r="125" spans="1:7">
      <c r="A125" s="837" t="str">
        <f t="shared" si="0"/>
        <v>1NarrowLow20</v>
      </c>
      <c r="B125" s="838">
        <v>1</v>
      </c>
      <c r="C125" s="838" t="s">
        <v>537</v>
      </c>
      <c r="D125" s="838" t="s">
        <v>536</v>
      </c>
      <c r="E125" s="838">
        <v>20</v>
      </c>
      <c r="F125" s="838">
        <v>6</v>
      </c>
      <c r="G125" s="839">
        <v>0</v>
      </c>
    </row>
    <row r="126" spans="1:7">
      <c r="A126" s="837" t="str">
        <f t="shared" si="0"/>
        <v>1NarrowLow30</v>
      </c>
      <c r="B126" s="838">
        <v>1</v>
      </c>
      <c r="C126" s="838" t="s">
        <v>537</v>
      </c>
      <c r="D126" s="838" t="s">
        <v>536</v>
      </c>
      <c r="E126" s="838">
        <v>30</v>
      </c>
      <c r="F126" s="838">
        <v>9</v>
      </c>
      <c r="G126" s="839">
        <v>0</v>
      </c>
    </row>
    <row r="127" spans="1:7">
      <c r="A127" s="837" t="str">
        <f t="shared" si="0"/>
        <v>1NarrowLow40</v>
      </c>
      <c r="B127" s="838">
        <v>1</v>
      </c>
      <c r="C127" s="838" t="s">
        <v>537</v>
      </c>
      <c r="D127" s="838" t="s">
        <v>536</v>
      </c>
      <c r="E127" s="838">
        <v>40</v>
      </c>
      <c r="F127" s="838">
        <v>24</v>
      </c>
      <c r="G127" s="839">
        <v>0.5</v>
      </c>
    </row>
    <row r="128" spans="1:7">
      <c r="A128" s="837" t="str">
        <f t="shared" si="0"/>
        <v>1NarrowMedium10</v>
      </c>
      <c r="B128" s="838">
        <v>1</v>
      </c>
      <c r="C128" s="838" t="s">
        <v>537</v>
      </c>
      <c r="D128" s="838" t="s">
        <v>539</v>
      </c>
      <c r="E128" s="838">
        <v>10</v>
      </c>
      <c r="F128" s="838">
        <v>28</v>
      </c>
      <c r="G128" s="839">
        <v>0.64</v>
      </c>
    </row>
    <row r="129" spans="1:7">
      <c r="A129" s="837" t="str">
        <f t="shared" si="0"/>
        <v>1NarrowMedium20</v>
      </c>
      <c r="B129" s="838">
        <v>1</v>
      </c>
      <c r="C129" s="838" t="s">
        <v>537</v>
      </c>
      <c r="D129" s="838" t="s">
        <v>539</v>
      </c>
      <c r="E129" s="838">
        <v>20</v>
      </c>
      <c r="F129" s="838">
        <v>28</v>
      </c>
      <c r="G129" s="839">
        <v>0.64</v>
      </c>
    </row>
    <row r="130" spans="1:7">
      <c r="A130" s="837" t="str">
        <f t="shared" si="0"/>
        <v>1NarrowMedium30</v>
      </c>
      <c r="B130" s="838">
        <v>1</v>
      </c>
      <c r="C130" s="838" t="s">
        <v>537</v>
      </c>
      <c r="D130" s="838" t="s">
        <v>539</v>
      </c>
      <c r="E130" s="838">
        <v>30</v>
      </c>
      <c r="F130" s="838">
        <v>31</v>
      </c>
      <c r="G130" s="839">
        <v>0.7</v>
      </c>
    </row>
    <row r="131" spans="1:7">
      <c r="A131" s="837" t="str">
        <f t="shared" si="0"/>
        <v>1NarrowMedium40</v>
      </c>
      <c r="B131" s="838">
        <v>1</v>
      </c>
      <c r="C131" s="838" t="s">
        <v>537</v>
      </c>
      <c r="D131" s="838" t="s">
        <v>539</v>
      </c>
      <c r="E131" s="838">
        <v>40</v>
      </c>
      <c r="F131" s="838">
        <v>45</v>
      </c>
      <c r="G131" s="839">
        <v>1.1200000000000001</v>
      </c>
    </row>
    <row r="132" spans="1:7">
      <c r="A132" s="837" t="str">
        <f t="shared" si="0"/>
        <v>1NarrowHigh10</v>
      </c>
      <c r="B132" s="838">
        <v>1</v>
      </c>
      <c r="C132" s="838" t="s">
        <v>537</v>
      </c>
      <c r="D132" s="838" t="s">
        <v>540</v>
      </c>
      <c r="E132" s="838">
        <v>10</v>
      </c>
      <c r="F132" s="838">
        <v>38</v>
      </c>
      <c r="G132" s="839">
        <v>0.94</v>
      </c>
    </row>
    <row r="133" spans="1:7">
      <c r="A133" s="837" t="str">
        <f t="shared" si="0"/>
        <v>1NarrowHigh20</v>
      </c>
      <c r="B133" s="838">
        <v>1</v>
      </c>
      <c r="C133" s="838" t="s">
        <v>537</v>
      </c>
      <c r="D133" s="838" t="s">
        <v>540</v>
      </c>
      <c r="E133" s="838">
        <v>20</v>
      </c>
      <c r="F133" s="838">
        <v>38</v>
      </c>
      <c r="G133" s="839">
        <v>0.94</v>
      </c>
    </row>
    <row r="134" spans="1:7">
      <c r="A134" s="837" t="str">
        <f t="shared" si="0"/>
        <v>1NarrowHigh30</v>
      </c>
      <c r="B134" s="838">
        <v>1</v>
      </c>
      <c r="C134" s="838" t="s">
        <v>537</v>
      </c>
      <c r="D134" s="838" t="s">
        <v>540</v>
      </c>
      <c r="E134" s="838">
        <v>30</v>
      </c>
      <c r="F134" s="838">
        <v>41</v>
      </c>
      <c r="G134" s="839">
        <v>1</v>
      </c>
    </row>
    <row r="135" spans="1:7">
      <c r="A135" s="837" t="str">
        <f t="shared" si="0"/>
        <v>1NoLow10</v>
      </c>
      <c r="B135" s="838">
        <v>1</v>
      </c>
      <c r="C135" s="838" t="s">
        <v>420</v>
      </c>
      <c r="D135" s="838" t="s">
        <v>536</v>
      </c>
      <c r="E135" s="838">
        <v>10</v>
      </c>
      <c r="F135" s="838">
        <v>13</v>
      </c>
      <c r="G135" s="839">
        <v>0.23</v>
      </c>
    </row>
    <row r="136" spans="1:7">
      <c r="A136" s="837" t="str">
        <f t="shared" si="0"/>
        <v>1NoLow20</v>
      </c>
      <c r="B136" s="838">
        <v>1</v>
      </c>
      <c r="C136" s="838" t="s">
        <v>420</v>
      </c>
      <c r="D136" s="838" t="s">
        <v>536</v>
      </c>
      <c r="E136" s="838">
        <v>20</v>
      </c>
      <c r="F136" s="838">
        <v>13</v>
      </c>
      <c r="G136" s="839">
        <v>0.23</v>
      </c>
    </row>
    <row r="137" spans="1:7">
      <c r="A137" s="837" t="str">
        <f t="shared" si="0"/>
        <v>1NoLow30</v>
      </c>
      <c r="B137" s="838">
        <v>1</v>
      </c>
      <c r="C137" s="838" t="s">
        <v>420</v>
      </c>
      <c r="D137" s="838" t="s">
        <v>536</v>
      </c>
      <c r="E137" s="838">
        <v>30</v>
      </c>
      <c r="F137" s="838">
        <v>15</v>
      </c>
      <c r="G137" s="839">
        <v>0.28000000000000003</v>
      </c>
    </row>
    <row r="138" spans="1:7">
      <c r="A138" s="837" t="str">
        <f t="shared" si="0"/>
        <v>1NoLow40</v>
      </c>
      <c r="B138" s="838">
        <v>1</v>
      </c>
      <c r="C138" s="838" t="s">
        <v>420</v>
      </c>
      <c r="D138" s="838" t="s">
        <v>536</v>
      </c>
      <c r="E138" s="838">
        <v>40</v>
      </c>
      <c r="F138" s="838">
        <v>30</v>
      </c>
      <c r="G138" s="839">
        <v>0.7</v>
      </c>
    </row>
    <row r="139" spans="1:7">
      <c r="A139" s="837" t="str">
        <f t="shared" si="0"/>
        <v>1NoMedium10</v>
      </c>
      <c r="B139" s="838">
        <v>1</v>
      </c>
      <c r="C139" s="838" t="s">
        <v>420</v>
      </c>
      <c r="D139" s="838" t="s">
        <v>539</v>
      </c>
      <c r="E139" s="838">
        <v>10</v>
      </c>
      <c r="F139" s="838">
        <v>35</v>
      </c>
      <c r="G139" s="839">
        <v>0.84</v>
      </c>
    </row>
    <row r="140" spans="1:7">
      <c r="A140" s="837" t="str">
        <f t="shared" si="0"/>
        <v>1NoMedium20</v>
      </c>
      <c r="B140" s="838">
        <v>1</v>
      </c>
      <c r="C140" s="838" t="s">
        <v>420</v>
      </c>
      <c r="D140" s="838" t="s">
        <v>539</v>
      </c>
      <c r="E140" s="838">
        <v>20</v>
      </c>
      <c r="F140" s="838">
        <v>35</v>
      </c>
      <c r="G140" s="839">
        <v>0.84</v>
      </c>
    </row>
    <row r="141" spans="1:7">
      <c r="A141" s="837" t="str">
        <f t="shared" si="0"/>
        <v>1NoMedium30</v>
      </c>
      <c r="B141" s="838">
        <v>1</v>
      </c>
      <c r="C141" s="838" t="s">
        <v>420</v>
      </c>
      <c r="D141" s="838" t="s">
        <v>539</v>
      </c>
      <c r="E141" s="838">
        <v>30</v>
      </c>
      <c r="F141" s="838">
        <v>37</v>
      </c>
      <c r="G141" s="839">
        <v>0.9</v>
      </c>
    </row>
    <row r="142" spans="1:7">
      <c r="A142" s="837" t="str">
        <f t="shared" si="0"/>
        <v>1NoMedium40</v>
      </c>
      <c r="B142" s="838">
        <v>1</v>
      </c>
      <c r="C142" s="838" t="s">
        <v>420</v>
      </c>
      <c r="D142" s="838" t="s">
        <v>539</v>
      </c>
      <c r="E142" s="838">
        <v>40</v>
      </c>
      <c r="F142" s="838">
        <v>52</v>
      </c>
      <c r="G142" s="839">
        <v>1.32</v>
      </c>
    </row>
    <row r="143" spans="1:7">
      <c r="A143" s="837" t="str">
        <f t="shared" si="0"/>
        <v>1NoHigh10</v>
      </c>
      <c r="B143" s="838">
        <v>1</v>
      </c>
      <c r="C143" s="838" t="s">
        <v>420</v>
      </c>
      <c r="D143" s="838" t="s">
        <v>540</v>
      </c>
      <c r="E143" s="838">
        <v>10</v>
      </c>
      <c r="F143" s="838">
        <v>45</v>
      </c>
      <c r="G143" s="839">
        <v>1.1399999999999999</v>
      </c>
    </row>
    <row r="144" spans="1:7">
      <c r="A144" s="837" t="str">
        <f t="shared" si="0"/>
        <v>1NoHigh20</v>
      </c>
      <c r="B144" s="838">
        <v>1</v>
      </c>
      <c r="C144" s="838" t="s">
        <v>420</v>
      </c>
      <c r="D144" s="838" t="s">
        <v>540</v>
      </c>
      <c r="E144" s="838">
        <v>20</v>
      </c>
      <c r="F144" s="838">
        <v>45</v>
      </c>
      <c r="G144" s="839">
        <v>1.1399999999999999</v>
      </c>
    </row>
    <row r="145" spans="1:7">
      <c r="A145" s="837" t="str">
        <f t="shared" ref="A145:A176" si="1">B145&amp;C145&amp;D145&amp;E145</f>
        <v>1NoHigh30</v>
      </c>
      <c r="B145" s="838">
        <v>1</v>
      </c>
      <c r="C145" s="838" t="s">
        <v>420</v>
      </c>
      <c r="D145" s="838" t="s">
        <v>540</v>
      </c>
      <c r="E145" s="838">
        <v>30</v>
      </c>
      <c r="F145" s="838">
        <v>47</v>
      </c>
      <c r="G145" s="839">
        <v>1.2</v>
      </c>
    </row>
    <row r="146" spans="1:7">
      <c r="A146" s="837" t="str">
        <f t="shared" si="1"/>
        <v>2WideLow10</v>
      </c>
      <c r="B146" s="838">
        <v>2</v>
      </c>
      <c r="C146" s="838" t="s">
        <v>535</v>
      </c>
      <c r="D146" s="838" t="s">
        <v>536</v>
      </c>
      <c r="E146" s="838">
        <v>10</v>
      </c>
      <c r="F146" s="838">
        <v>21</v>
      </c>
      <c r="G146" s="839">
        <v>0.49</v>
      </c>
    </row>
    <row r="147" spans="1:7">
      <c r="A147" s="837" t="str">
        <f t="shared" si="1"/>
        <v>2WideLow20</v>
      </c>
      <c r="B147" s="838">
        <v>2</v>
      </c>
      <c r="C147" s="838" t="s">
        <v>535</v>
      </c>
      <c r="D147" s="838" t="s">
        <v>536</v>
      </c>
      <c r="E147" s="838">
        <v>20</v>
      </c>
      <c r="F147" s="838">
        <v>21</v>
      </c>
      <c r="G147" s="839">
        <v>0.49</v>
      </c>
    </row>
    <row r="148" spans="1:7">
      <c r="A148" s="837" t="str">
        <f t="shared" si="1"/>
        <v>2WideLow30</v>
      </c>
      <c r="B148" s="838">
        <v>2</v>
      </c>
      <c r="C148" s="838" t="s">
        <v>535</v>
      </c>
      <c r="D148" s="838" t="s">
        <v>536</v>
      </c>
      <c r="E148" s="838">
        <v>30</v>
      </c>
      <c r="F148" s="838">
        <v>23</v>
      </c>
      <c r="G148" s="839">
        <v>0.54</v>
      </c>
    </row>
    <row r="149" spans="1:7">
      <c r="A149" s="837" t="str">
        <f t="shared" si="1"/>
        <v>2WideLow40</v>
      </c>
      <c r="B149" s="838">
        <v>2</v>
      </c>
      <c r="C149" s="838" t="s">
        <v>535</v>
      </c>
      <c r="D149" s="838" t="s">
        <v>536</v>
      </c>
      <c r="E149" s="838">
        <v>40</v>
      </c>
      <c r="F149" s="838">
        <v>38</v>
      </c>
      <c r="G149" s="839">
        <v>0.96</v>
      </c>
    </row>
    <row r="150" spans="1:7">
      <c r="A150" s="837" t="str">
        <f t="shared" si="1"/>
        <v>2WideMedium10</v>
      </c>
      <c r="B150" s="838">
        <v>2</v>
      </c>
      <c r="C150" s="838" t="s">
        <v>535</v>
      </c>
      <c r="D150" s="838" t="s">
        <v>539</v>
      </c>
      <c r="E150" s="838">
        <v>10</v>
      </c>
      <c r="F150" s="838">
        <v>43</v>
      </c>
      <c r="G150" s="839">
        <v>1.1100000000000001</v>
      </c>
    </row>
    <row r="151" spans="1:7">
      <c r="A151" s="837" t="str">
        <f t="shared" si="1"/>
        <v>2WideMedium20</v>
      </c>
      <c r="B151" s="838">
        <v>2</v>
      </c>
      <c r="C151" s="838" t="s">
        <v>535</v>
      </c>
      <c r="D151" s="838" t="s">
        <v>539</v>
      </c>
      <c r="E151" s="838">
        <v>20</v>
      </c>
      <c r="F151" s="838">
        <v>43</v>
      </c>
      <c r="G151" s="839">
        <v>1.1100000000000001</v>
      </c>
    </row>
    <row r="152" spans="1:7">
      <c r="A152" s="837" t="str">
        <f t="shared" si="1"/>
        <v>2WideMedium30</v>
      </c>
      <c r="B152" s="838">
        <v>2</v>
      </c>
      <c r="C152" s="838" t="s">
        <v>535</v>
      </c>
      <c r="D152" s="838" t="s">
        <v>539</v>
      </c>
      <c r="E152" s="838">
        <v>30</v>
      </c>
      <c r="F152" s="838">
        <v>45</v>
      </c>
      <c r="G152" s="839">
        <v>1.1599999999999999</v>
      </c>
    </row>
    <row r="153" spans="1:7">
      <c r="A153" s="837" t="str">
        <f t="shared" si="1"/>
        <v>2WideMedium40</v>
      </c>
      <c r="B153" s="838">
        <v>2</v>
      </c>
      <c r="C153" s="838" t="s">
        <v>535</v>
      </c>
      <c r="D153" s="838" t="s">
        <v>539</v>
      </c>
      <c r="E153" s="838">
        <v>40</v>
      </c>
      <c r="F153" s="838">
        <v>60</v>
      </c>
      <c r="G153" s="839">
        <v>1.58</v>
      </c>
    </row>
    <row r="154" spans="1:7">
      <c r="A154" s="837" t="str">
        <f t="shared" si="1"/>
        <v>2WideHigh10</v>
      </c>
      <c r="B154" s="838">
        <v>2</v>
      </c>
      <c r="C154" s="838" t="s">
        <v>535</v>
      </c>
      <c r="D154" s="838" t="s">
        <v>540</v>
      </c>
      <c r="E154" s="838">
        <v>10</v>
      </c>
      <c r="F154" s="838">
        <v>53</v>
      </c>
      <c r="G154" s="839">
        <v>1.4</v>
      </c>
    </row>
    <row r="155" spans="1:7">
      <c r="A155" s="837" t="str">
        <f t="shared" si="1"/>
        <v>2WideHigh20</v>
      </c>
      <c r="B155" s="838">
        <v>2</v>
      </c>
      <c r="C155" s="838" t="s">
        <v>535</v>
      </c>
      <c r="D155" s="838" t="s">
        <v>540</v>
      </c>
      <c r="E155" s="838">
        <v>20</v>
      </c>
      <c r="F155" s="838">
        <v>53</v>
      </c>
      <c r="G155" s="839">
        <v>1.4</v>
      </c>
    </row>
    <row r="156" spans="1:7">
      <c r="A156" s="837" t="str">
        <f t="shared" si="1"/>
        <v>2WideHigh30</v>
      </c>
      <c r="B156" s="838">
        <v>2</v>
      </c>
      <c r="C156" s="838" t="s">
        <v>535</v>
      </c>
      <c r="D156" s="838" t="s">
        <v>540</v>
      </c>
      <c r="E156" s="838">
        <v>30</v>
      </c>
      <c r="F156" s="838">
        <v>55</v>
      </c>
      <c r="G156" s="839">
        <v>1.46</v>
      </c>
    </row>
    <row r="157" spans="1:7">
      <c r="A157" s="837" t="str">
        <f t="shared" si="1"/>
        <v>2NarrowLow10</v>
      </c>
      <c r="B157" s="838">
        <v>2</v>
      </c>
      <c r="C157" s="838" t="s">
        <v>537</v>
      </c>
      <c r="D157" s="838" t="s">
        <v>536</v>
      </c>
      <c r="E157" s="838">
        <v>10</v>
      </c>
      <c r="F157" s="838">
        <v>27</v>
      </c>
      <c r="G157" s="839">
        <v>0.61</v>
      </c>
    </row>
    <row r="158" spans="1:7">
      <c r="A158" s="837" t="str">
        <f t="shared" si="1"/>
        <v>2NarrowLow20</v>
      </c>
      <c r="B158" s="838">
        <v>2</v>
      </c>
      <c r="C158" s="838" t="s">
        <v>537</v>
      </c>
      <c r="D158" s="838" t="s">
        <v>536</v>
      </c>
      <c r="E158" s="838">
        <v>20</v>
      </c>
      <c r="F158" s="838">
        <v>27</v>
      </c>
      <c r="G158" s="839">
        <v>0.61</v>
      </c>
    </row>
    <row r="159" spans="1:7">
      <c r="A159" s="837" t="str">
        <f t="shared" si="1"/>
        <v>2NarrowLow30</v>
      </c>
      <c r="B159" s="838">
        <v>2</v>
      </c>
      <c r="C159" s="838" t="s">
        <v>537</v>
      </c>
      <c r="D159" s="838" t="s">
        <v>536</v>
      </c>
      <c r="E159" s="838">
        <v>30</v>
      </c>
      <c r="F159" s="838">
        <v>30</v>
      </c>
      <c r="G159" s="839">
        <v>0.67</v>
      </c>
    </row>
    <row r="160" spans="1:7">
      <c r="A160" s="837" t="str">
        <f t="shared" si="1"/>
        <v>2NarrowLow40</v>
      </c>
      <c r="B160" s="838">
        <v>2</v>
      </c>
      <c r="C160" s="838" t="s">
        <v>537</v>
      </c>
      <c r="D160" s="838" t="s">
        <v>536</v>
      </c>
      <c r="E160" s="838">
        <v>40</v>
      </c>
      <c r="F160" s="838">
        <v>44</v>
      </c>
      <c r="G160" s="839">
        <v>1.0900000000000001</v>
      </c>
    </row>
    <row r="161" spans="1:7">
      <c r="A161" s="837" t="str">
        <f t="shared" si="1"/>
        <v>2NarrowMedium10</v>
      </c>
      <c r="B161" s="838">
        <v>2</v>
      </c>
      <c r="C161" s="838" t="s">
        <v>537</v>
      </c>
      <c r="D161" s="838" t="s">
        <v>539</v>
      </c>
      <c r="E161" s="838">
        <v>10</v>
      </c>
      <c r="F161" s="838">
        <v>49</v>
      </c>
      <c r="G161" s="839">
        <v>1.23</v>
      </c>
    </row>
    <row r="162" spans="1:7">
      <c r="A162" s="837" t="str">
        <f t="shared" si="1"/>
        <v>2NarrowMedium20</v>
      </c>
      <c r="B162" s="838">
        <v>2</v>
      </c>
      <c r="C162" s="838" t="s">
        <v>537</v>
      </c>
      <c r="D162" s="838" t="s">
        <v>539</v>
      </c>
      <c r="E162" s="838">
        <v>20</v>
      </c>
      <c r="F162" s="838">
        <v>49</v>
      </c>
      <c r="G162" s="839">
        <v>1.23</v>
      </c>
    </row>
    <row r="163" spans="1:7">
      <c r="A163" s="837" t="str">
        <f t="shared" si="1"/>
        <v>2NarrowMedium30</v>
      </c>
      <c r="B163" s="838">
        <v>2</v>
      </c>
      <c r="C163" s="838" t="s">
        <v>537</v>
      </c>
      <c r="D163" s="838" t="s">
        <v>539</v>
      </c>
      <c r="E163" s="838">
        <v>30</v>
      </c>
      <c r="F163" s="838">
        <v>51</v>
      </c>
      <c r="G163" s="839">
        <v>1.29</v>
      </c>
    </row>
    <row r="164" spans="1:7">
      <c r="A164" s="837" t="str">
        <f t="shared" si="1"/>
        <v>2NarrowMedium40</v>
      </c>
      <c r="B164" s="838">
        <v>2</v>
      </c>
      <c r="C164" s="838" t="s">
        <v>537</v>
      </c>
      <c r="D164" s="838" t="s">
        <v>539</v>
      </c>
      <c r="E164" s="838">
        <v>40</v>
      </c>
      <c r="F164" s="838">
        <v>66</v>
      </c>
      <c r="G164" s="839">
        <v>1.71</v>
      </c>
    </row>
    <row r="165" spans="1:7">
      <c r="A165" s="837" t="str">
        <f t="shared" si="1"/>
        <v>2NarrowHigh10</v>
      </c>
      <c r="B165" s="838">
        <v>2</v>
      </c>
      <c r="C165" s="838" t="s">
        <v>537</v>
      </c>
      <c r="D165" s="838" t="s">
        <v>540</v>
      </c>
      <c r="E165" s="838">
        <v>10</v>
      </c>
      <c r="F165" s="838">
        <v>59</v>
      </c>
      <c r="G165" s="839">
        <v>1.53</v>
      </c>
    </row>
    <row r="166" spans="1:7">
      <c r="A166" s="837" t="str">
        <f t="shared" si="1"/>
        <v>2NarrowHigh20</v>
      </c>
      <c r="B166" s="838">
        <v>2</v>
      </c>
      <c r="C166" s="838" t="s">
        <v>537</v>
      </c>
      <c r="D166" s="838" t="s">
        <v>540</v>
      </c>
      <c r="E166" s="838">
        <v>20</v>
      </c>
      <c r="F166" s="838">
        <v>59</v>
      </c>
      <c r="G166" s="839">
        <v>1.53</v>
      </c>
    </row>
    <row r="167" spans="1:7">
      <c r="A167" s="837" t="str">
        <f t="shared" si="1"/>
        <v>2NarrowHigh30</v>
      </c>
      <c r="B167" s="838">
        <v>2</v>
      </c>
      <c r="C167" s="838" t="s">
        <v>537</v>
      </c>
      <c r="D167" s="838" t="s">
        <v>540</v>
      </c>
      <c r="E167" s="838">
        <v>30</v>
      </c>
      <c r="F167" s="838">
        <v>62</v>
      </c>
      <c r="G167" s="839">
        <v>1.59</v>
      </c>
    </row>
    <row r="168" spans="1:7">
      <c r="A168" s="837" t="str">
        <f t="shared" si="1"/>
        <v>2NoLow10</v>
      </c>
      <c r="B168" s="838">
        <v>2</v>
      </c>
      <c r="C168" s="838" t="s">
        <v>420</v>
      </c>
      <c r="D168" s="838" t="s">
        <v>536</v>
      </c>
      <c r="E168" s="838">
        <v>10</v>
      </c>
      <c r="F168" s="838">
        <v>34</v>
      </c>
      <c r="G168" s="839">
        <v>0.81</v>
      </c>
    </row>
    <row r="169" spans="1:7">
      <c r="A169" s="837" t="str">
        <f t="shared" si="1"/>
        <v>2NoLow20</v>
      </c>
      <c r="B169" s="838">
        <v>2</v>
      </c>
      <c r="C169" s="838" t="s">
        <v>420</v>
      </c>
      <c r="D169" s="838" t="s">
        <v>536</v>
      </c>
      <c r="E169" s="838">
        <v>20</v>
      </c>
      <c r="F169" s="838">
        <v>34</v>
      </c>
      <c r="G169" s="839">
        <v>0.81</v>
      </c>
    </row>
    <row r="170" spans="1:7">
      <c r="A170" s="837" t="str">
        <f t="shared" si="1"/>
        <v>2NoLow30</v>
      </c>
      <c r="B170" s="838">
        <v>2</v>
      </c>
      <c r="C170" s="838" t="s">
        <v>420</v>
      </c>
      <c r="D170" s="838" t="s">
        <v>536</v>
      </c>
      <c r="E170" s="838">
        <v>30</v>
      </c>
      <c r="F170" s="838">
        <v>36</v>
      </c>
      <c r="G170" s="839">
        <v>0.87</v>
      </c>
    </row>
    <row r="171" spans="1:7">
      <c r="A171" s="837" t="str">
        <f t="shared" si="1"/>
        <v>2NoLow40</v>
      </c>
      <c r="B171" s="838">
        <v>2</v>
      </c>
      <c r="C171" s="838" t="s">
        <v>420</v>
      </c>
      <c r="D171" s="838" t="s">
        <v>536</v>
      </c>
      <c r="E171" s="838">
        <v>40</v>
      </c>
      <c r="F171" s="838">
        <v>51</v>
      </c>
      <c r="G171" s="839">
        <v>1.29</v>
      </c>
    </row>
    <row r="172" spans="1:7">
      <c r="A172" s="837" t="str">
        <f t="shared" si="1"/>
        <v>2NoMedium10</v>
      </c>
      <c r="B172" s="838">
        <v>2</v>
      </c>
      <c r="C172" s="838" t="s">
        <v>420</v>
      </c>
      <c r="D172" s="838" t="s">
        <v>539</v>
      </c>
      <c r="E172" s="838">
        <v>10</v>
      </c>
      <c r="F172" s="838">
        <v>56</v>
      </c>
      <c r="G172" s="839">
        <v>1.43</v>
      </c>
    </row>
    <row r="173" spans="1:7">
      <c r="A173" s="837" t="str">
        <f t="shared" si="1"/>
        <v>2NoMedium20</v>
      </c>
      <c r="B173" s="838">
        <v>2</v>
      </c>
      <c r="C173" s="838" t="s">
        <v>420</v>
      </c>
      <c r="D173" s="838" t="s">
        <v>539</v>
      </c>
      <c r="E173" s="838">
        <v>20</v>
      </c>
      <c r="F173" s="838">
        <v>56</v>
      </c>
      <c r="G173" s="839">
        <v>1.43</v>
      </c>
    </row>
    <row r="174" spans="1:7">
      <c r="A174" s="837" t="str">
        <f t="shared" si="1"/>
        <v>2NoMedium30</v>
      </c>
      <c r="B174" s="838">
        <v>2</v>
      </c>
      <c r="C174" s="838" t="s">
        <v>420</v>
      </c>
      <c r="D174" s="838" t="s">
        <v>539</v>
      </c>
      <c r="E174" s="838">
        <v>30</v>
      </c>
      <c r="F174" s="838">
        <v>58</v>
      </c>
      <c r="G174" s="839">
        <v>1.49</v>
      </c>
    </row>
    <row r="175" spans="1:7">
      <c r="A175" s="837" t="str">
        <f t="shared" si="1"/>
        <v>2NoMedium40</v>
      </c>
      <c r="B175" s="838">
        <v>2</v>
      </c>
      <c r="C175" s="838" t="s">
        <v>420</v>
      </c>
      <c r="D175" s="838" t="s">
        <v>539</v>
      </c>
      <c r="E175" s="838">
        <v>40</v>
      </c>
      <c r="F175" s="838">
        <v>73</v>
      </c>
      <c r="G175" s="839">
        <v>1.91</v>
      </c>
    </row>
    <row r="176" spans="1:7">
      <c r="A176" s="837" t="str">
        <f t="shared" si="1"/>
        <v>2NoHigh10</v>
      </c>
      <c r="B176" s="838">
        <v>2</v>
      </c>
      <c r="C176" s="838" t="s">
        <v>420</v>
      </c>
      <c r="D176" s="838" t="s">
        <v>540</v>
      </c>
      <c r="E176" s="838">
        <v>10</v>
      </c>
      <c r="F176" s="838">
        <v>66</v>
      </c>
      <c r="G176" s="839">
        <v>1.73</v>
      </c>
    </row>
    <row r="177" spans="1:7">
      <c r="A177" s="837" t="str">
        <f t="shared" ref="A177:A208" si="2">B177&amp;C177&amp;D177&amp;E177</f>
        <v>2NoHigh20</v>
      </c>
      <c r="B177" s="838">
        <v>2</v>
      </c>
      <c r="C177" s="838" t="s">
        <v>420</v>
      </c>
      <c r="D177" s="838" t="s">
        <v>540</v>
      </c>
      <c r="E177" s="838">
        <v>20</v>
      </c>
      <c r="F177" s="838">
        <v>66</v>
      </c>
      <c r="G177" s="839">
        <v>1.73</v>
      </c>
    </row>
    <row r="178" spans="1:7">
      <c r="A178" s="837" t="str">
        <f t="shared" si="2"/>
        <v>2NoHigh30</v>
      </c>
      <c r="B178" s="838">
        <v>2</v>
      </c>
      <c r="C178" s="838" t="s">
        <v>420</v>
      </c>
      <c r="D178" s="838" t="s">
        <v>540</v>
      </c>
      <c r="E178" s="838">
        <v>30</v>
      </c>
      <c r="F178" s="838">
        <v>68</v>
      </c>
      <c r="G178" s="839">
        <v>1.79</v>
      </c>
    </row>
    <row r="179" spans="1:7">
      <c r="A179" s="837" t="str">
        <f t="shared" si="2"/>
        <v>3WideLow10</v>
      </c>
      <c r="B179" s="838">
        <v>3</v>
      </c>
      <c r="C179" s="838" t="s">
        <v>535</v>
      </c>
      <c r="D179" s="838" t="s">
        <v>536</v>
      </c>
      <c r="E179" s="838">
        <v>10</v>
      </c>
      <c r="F179" s="838">
        <v>48</v>
      </c>
      <c r="G179" s="839">
        <v>1.25</v>
      </c>
    </row>
    <row r="180" spans="1:7">
      <c r="A180" s="837" t="str">
        <f t="shared" si="2"/>
        <v>3WideLow20</v>
      </c>
      <c r="B180" s="838">
        <v>3</v>
      </c>
      <c r="C180" s="838" t="s">
        <v>535</v>
      </c>
      <c r="D180" s="838" t="s">
        <v>536</v>
      </c>
      <c r="E180" s="838">
        <v>20</v>
      </c>
      <c r="F180" s="838">
        <v>48</v>
      </c>
      <c r="G180" s="839">
        <v>1.25</v>
      </c>
    </row>
    <row r="181" spans="1:7">
      <c r="A181" s="837" t="str">
        <f t="shared" si="2"/>
        <v>3WideLow30</v>
      </c>
      <c r="B181" s="838">
        <v>3</v>
      </c>
      <c r="C181" s="838" t="s">
        <v>535</v>
      </c>
      <c r="D181" s="838" t="s">
        <v>536</v>
      </c>
      <c r="E181" s="838">
        <v>30</v>
      </c>
      <c r="F181" s="838">
        <v>50</v>
      </c>
      <c r="G181" s="839">
        <v>1.31</v>
      </c>
    </row>
    <row r="182" spans="1:7">
      <c r="A182" s="837" t="str">
        <f t="shared" si="2"/>
        <v>3WideLow40</v>
      </c>
      <c r="B182" s="838">
        <v>3</v>
      </c>
      <c r="C182" s="838" t="s">
        <v>535</v>
      </c>
      <c r="D182" s="838" t="s">
        <v>536</v>
      </c>
      <c r="E182" s="838">
        <v>40</v>
      </c>
      <c r="F182" s="838">
        <v>65</v>
      </c>
      <c r="G182" s="839">
        <v>1.72</v>
      </c>
    </row>
    <row r="183" spans="1:7">
      <c r="A183" s="837" t="str">
        <f t="shared" si="2"/>
        <v>3WideMedium10</v>
      </c>
      <c r="B183" s="838">
        <v>3</v>
      </c>
      <c r="C183" s="838" t="s">
        <v>535</v>
      </c>
      <c r="D183" s="838" t="s">
        <v>539</v>
      </c>
      <c r="E183" s="838">
        <v>10</v>
      </c>
      <c r="F183" s="838">
        <v>70</v>
      </c>
      <c r="G183" s="839">
        <v>1.87</v>
      </c>
    </row>
    <row r="184" spans="1:7">
      <c r="A184" s="837" t="str">
        <f t="shared" si="2"/>
        <v>3WideMedium20</v>
      </c>
      <c r="B184" s="838">
        <v>3</v>
      </c>
      <c r="C184" s="838" t="s">
        <v>535</v>
      </c>
      <c r="D184" s="838" t="s">
        <v>539</v>
      </c>
      <c r="E184" s="838">
        <v>20</v>
      </c>
      <c r="F184" s="838">
        <v>70</v>
      </c>
      <c r="G184" s="839">
        <v>1.87</v>
      </c>
    </row>
    <row r="185" spans="1:7">
      <c r="A185" s="837" t="str">
        <f t="shared" si="2"/>
        <v>3WideMedium30</v>
      </c>
      <c r="B185" s="838">
        <v>3</v>
      </c>
      <c r="C185" s="838" t="s">
        <v>535</v>
      </c>
      <c r="D185" s="838" t="s">
        <v>539</v>
      </c>
      <c r="E185" s="838">
        <v>30</v>
      </c>
      <c r="F185" s="838">
        <v>72</v>
      </c>
      <c r="G185" s="839">
        <v>1.93</v>
      </c>
    </row>
    <row r="186" spans="1:7">
      <c r="A186" s="837" t="str">
        <f t="shared" si="2"/>
        <v>3WideMedium40</v>
      </c>
      <c r="B186" s="838">
        <v>3</v>
      </c>
      <c r="C186" s="838" t="s">
        <v>535</v>
      </c>
      <c r="D186" s="838" t="s">
        <v>539</v>
      </c>
      <c r="E186" s="838">
        <v>40</v>
      </c>
      <c r="F186" s="838">
        <v>87</v>
      </c>
      <c r="G186" s="839">
        <v>2.34</v>
      </c>
    </row>
    <row r="187" spans="1:7">
      <c r="A187" s="837" t="str">
        <f t="shared" si="2"/>
        <v>3WideHigh10</v>
      </c>
      <c r="B187" s="838">
        <v>3</v>
      </c>
      <c r="C187" s="838" t="s">
        <v>535</v>
      </c>
      <c r="D187" s="838" t="s">
        <v>540</v>
      </c>
      <c r="E187" s="838">
        <v>10</v>
      </c>
      <c r="F187" s="838">
        <v>80</v>
      </c>
      <c r="G187" s="839">
        <v>2.17</v>
      </c>
    </row>
    <row r="188" spans="1:7">
      <c r="A188" s="837" t="str">
        <f t="shared" si="2"/>
        <v>3WideHigh20</v>
      </c>
      <c r="B188" s="838">
        <v>3</v>
      </c>
      <c r="C188" s="838" t="s">
        <v>535</v>
      </c>
      <c r="D188" s="838" t="s">
        <v>540</v>
      </c>
      <c r="E188" s="838">
        <v>20</v>
      </c>
      <c r="F188" s="838">
        <v>80</v>
      </c>
      <c r="G188" s="839">
        <v>2.17</v>
      </c>
    </row>
    <row r="189" spans="1:7">
      <c r="A189" s="837" t="str">
        <f t="shared" si="2"/>
        <v>3WideHigh30</v>
      </c>
      <c r="B189" s="838">
        <v>3</v>
      </c>
      <c r="C189" s="838" t="s">
        <v>535</v>
      </c>
      <c r="D189" s="838" t="s">
        <v>540</v>
      </c>
      <c r="E189" s="838">
        <v>30</v>
      </c>
      <c r="F189" s="838">
        <v>82</v>
      </c>
      <c r="G189" s="839">
        <v>2.2200000000000002</v>
      </c>
    </row>
    <row r="190" spans="1:7">
      <c r="A190" s="837" t="str">
        <f t="shared" si="2"/>
        <v>3NarrowLow10</v>
      </c>
      <c r="B190" s="838">
        <v>3</v>
      </c>
      <c r="C190" s="838" t="s">
        <v>537</v>
      </c>
      <c r="D190" s="838" t="s">
        <v>536</v>
      </c>
      <c r="E190" s="838">
        <v>10</v>
      </c>
      <c r="F190" s="838">
        <v>54</v>
      </c>
      <c r="G190" s="839">
        <v>1.38</v>
      </c>
    </row>
    <row r="191" spans="1:7">
      <c r="A191" s="837" t="str">
        <f t="shared" si="2"/>
        <v>3NarrowLow20</v>
      </c>
      <c r="B191" s="838">
        <v>3</v>
      </c>
      <c r="C191" s="838" t="s">
        <v>537</v>
      </c>
      <c r="D191" s="838" t="s">
        <v>536</v>
      </c>
      <c r="E191" s="838">
        <v>20</v>
      </c>
      <c r="F191" s="838">
        <v>54</v>
      </c>
      <c r="G191" s="839">
        <v>1.38</v>
      </c>
    </row>
    <row r="192" spans="1:7">
      <c r="A192" s="837" t="str">
        <f t="shared" si="2"/>
        <v>3NarrowLow30</v>
      </c>
      <c r="B192" s="838">
        <v>3</v>
      </c>
      <c r="C192" s="838" t="s">
        <v>537</v>
      </c>
      <c r="D192" s="838" t="s">
        <v>536</v>
      </c>
      <c r="E192" s="838">
        <v>30</v>
      </c>
      <c r="F192" s="838">
        <v>56</v>
      </c>
      <c r="G192" s="839">
        <v>1.43</v>
      </c>
    </row>
    <row r="193" spans="1:7">
      <c r="A193" s="837" t="str">
        <f t="shared" si="2"/>
        <v>3NarrowLow40</v>
      </c>
      <c r="B193" s="838">
        <v>3</v>
      </c>
      <c r="C193" s="838" t="s">
        <v>537</v>
      </c>
      <c r="D193" s="838" t="s">
        <v>536</v>
      </c>
      <c r="E193" s="838">
        <v>40</v>
      </c>
      <c r="F193" s="838">
        <v>71</v>
      </c>
      <c r="G193" s="839">
        <v>1.85</v>
      </c>
    </row>
    <row r="194" spans="1:7">
      <c r="A194" s="837" t="str">
        <f t="shared" si="2"/>
        <v>3NarrowMedium10</v>
      </c>
      <c r="B194" s="838">
        <v>3</v>
      </c>
      <c r="C194" s="838" t="s">
        <v>537</v>
      </c>
      <c r="D194" s="838" t="s">
        <v>539</v>
      </c>
      <c r="E194" s="838">
        <v>10</v>
      </c>
      <c r="F194" s="838">
        <v>76</v>
      </c>
      <c r="G194" s="839">
        <v>1.99</v>
      </c>
    </row>
    <row r="195" spans="1:7">
      <c r="A195" s="837" t="str">
        <f t="shared" si="2"/>
        <v>3NarrowMedium20</v>
      </c>
      <c r="B195" s="838">
        <v>3</v>
      </c>
      <c r="C195" s="838" t="s">
        <v>537</v>
      </c>
      <c r="D195" s="838" t="s">
        <v>539</v>
      </c>
      <c r="E195" s="838">
        <v>20</v>
      </c>
      <c r="F195" s="838">
        <v>76</v>
      </c>
      <c r="G195" s="839">
        <v>1.99</v>
      </c>
    </row>
    <row r="196" spans="1:7">
      <c r="A196" s="837" t="str">
        <f t="shared" si="2"/>
        <v>3NarrowMedium30</v>
      </c>
      <c r="B196" s="838">
        <v>3</v>
      </c>
      <c r="C196" s="838" t="s">
        <v>537</v>
      </c>
      <c r="D196" s="838" t="s">
        <v>539</v>
      </c>
      <c r="E196" s="838">
        <v>30</v>
      </c>
      <c r="F196" s="838">
        <v>78</v>
      </c>
      <c r="G196" s="839">
        <v>2.0499999999999998</v>
      </c>
    </row>
    <row r="197" spans="1:7">
      <c r="A197" s="837" t="str">
        <f t="shared" si="2"/>
        <v>3NarrowMedium40</v>
      </c>
      <c r="B197" s="838">
        <v>3</v>
      </c>
      <c r="C197" s="838" t="s">
        <v>537</v>
      </c>
      <c r="D197" s="838" t="s">
        <v>539</v>
      </c>
      <c r="E197" s="838">
        <v>40</v>
      </c>
      <c r="F197" s="838">
        <v>93</v>
      </c>
      <c r="G197" s="839">
        <v>2.4700000000000002</v>
      </c>
    </row>
    <row r="198" spans="1:7">
      <c r="A198" s="837" t="str">
        <f t="shared" si="2"/>
        <v>3NarrowHigh10</v>
      </c>
      <c r="B198" s="838">
        <v>3</v>
      </c>
      <c r="C198" s="838" t="s">
        <v>537</v>
      </c>
      <c r="D198" s="838" t="s">
        <v>540</v>
      </c>
      <c r="E198" s="838">
        <v>10</v>
      </c>
      <c r="F198" s="838">
        <v>86</v>
      </c>
      <c r="G198" s="839">
        <v>2.29</v>
      </c>
    </row>
    <row r="199" spans="1:7">
      <c r="A199" s="837" t="str">
        <f t="shared" si="2"/>
        <v>3NarrowHigh20</v>
      </c>
      <c r="B199" s="838">
        <v>3</v>
      </c>
      <c r="C199" s="838" t="s">
        <v>537</v>
      </c>
      <c r="D199" s="838" t="s">
        <v>540</v>
      </c>
      <c r="E199" s="838">
        <v>20</v>
      </c>
      <c r="F199" s="838">
        <v>86</v>
      </c>
      <c r="G199" s="839">
        <v>2.29</v>
      </c>
    </row>
    <row r="200" spans="1:7">
      <c r="A200" s="837" t="str">
        <f t="shared" si="2"/>
        <v>3NarrowHigh30</v>
      </c>
      <c r="B200" s="838">
        <v>3</v>
      </c>
      <c r="C200" s="838" t="s">
        <v>537</v>
      </c>
      <c r="D200" s="838" t="s">
        <v>540</v>
      </c>
      <c r="E200" s="838">
        <v>30</v>
      </c>
      <c r="F200" s="838">
        <v>89</v>
      </c>
      <c r="G200" s="839">
        <v>2.35</v>
      </c>
    </row>
    <row r="201" spans="1:7">
      <c r="A201" s="837" t="str">
        <f t="shared" si="2"/>
        <v>3NoLow10</v>
      </c>
      <c r="B201" s="838">
        <v>3</v>
      </c>
      <c r="C201" s="838" t="s">
        <v>420</v>
      </c>
      <c r="D201" s="838" t="s">
        <v>536</v>
      </c>
      <c r="E201" s="838">
        <v>10</v>
      </c>
      <c r="F201" s="838">
        <v>61</v>
      </c>
      <c r="G201" s="839">
        <v>1.58</v>
      </c>
    </row>
    <row r="202" spans="1:7">
      <c r="A202" s="837" t="str">
        <f t="shared" si="2"/>
        <v>3NoLow20</v>
      </c>
      <c r="B202" s="838">
        <v>3</v>
      </c>
      <c r="C202" s="838" t="s">
        <v>420</v>
      </c>
      <c r="D202" s="838" t="s">
        <v>536</v>
      </c>
      <c r="E202" s="838">
        <v>20</v>
      </c>
      <c r="F202" s="838">
        <v>61</v>
      </c>
      <c r="G202" s="839">
        <v>1.58</v>
      </c>
    </row>
    <row r="203" spans="1:7">
      <c r="A203" s="837" t="str">
        <f t="shared" si="2"/>
        <v>3NoLow30</v>
      </c>
      <c r="B203" s="838">
        <v>3</v>
      </c>
      <c r="C203" s="838" t="s">
        <v>420</v>
      </c>
      <c r="D203" s="838" t="s">
        <v>536</v>
      </c>
      <c r="E203" s="838">
        <v>30</v>
      </c>
      <c r="F203" s="838">
        <v>63</v>
      </c>
      <c r="G203" s="839">
        <v>1.63</v>
      </c>
    </row>
    <row r="204" spans="1:7">
      <c r="A204" s="837" t="str">
        <f t="shared" si="2"/>
        <v>3NoLow40</v>
      </c>
      <c r="B204" s="838">
        <v>3</v>
      </c>
      <c r="C204" s="838" t="s">
        <v>420</v>
      </c>
      <c r="D204" s="838" t="s">
        <v>536</v>
      </c>
      <c r="E204" s="838">
        <v>40</v>
      </c>
      <c r="F204" s="838">
        <v>78</v>
      </c>
      <c r="G204" s="839">
        <v>2.0499999999999998</v>
      </c>
    </row>
    <row r="205" spans="1:7">
      <c r="A205" s="837" t="str">
        <f t="shared" si="2"/>
        <v>3NoMedium10</v>
      </c>
      <c r="B205" s="838">
        <v>3</v>
      </c>
      <c r="C205" s="838" t="s">
        <v>420</v>
      </c>
      <c r="D205" s="838" t="s">
        <v>539</v>
      </c>
      <c r="E205" s="838">
        <v>10</v>
      </c>
      <c r="F205" s="838">
        <v>83</v>
      </c>
      <c r="G205" s="839">
        <v>2.2000000000000002</v>
      </c>
    </row>
    <row r="206" spans="1:7">
      <c r="A206" s="837" t="str">
        <f t="shared" si="2"/>
        <v>3NoMedium20</v>
      </c>
      <c r="B206" s="838">
        <v>3</v>
      </c>
      <c r="C206" s="838" t="s">
        <v>420</v>
      </c>
      <c r="D206" s="838" t="s">
        <v>539</v>
      </c>
      <c r="E206" s="838">
        <v>20</v>
      </c>
      <c r="F206" s="838">
        <v>83</v>
      </c>
      <c r="G206" s="839">
        <v>2.2000000000000002</v>
      </c>
    </row>
    <row r="207" spans="1:7">
      <c r="A207" s="837" t="str">
        <f t="shared" si="2"/>
        <v>3NoMedium30</v>
      </c>
      <c r="B207" s="838">
        <v>3</v>
      </c>
      <c r="C207" s="838" t="s">
        <v>420</v>
      </c>
      <c r="D207" s="838" t="s">
        <v>539</v>
      </c>
      <c r="E207" s="838">
        <v>30</v>
      </c>
      <c r="F207" s="838">
        <v>85</v>
      </c>
      <c r="G207" s="839">
        <v>2.25</v>
      </c>
    </row>
    <row r="208" spans="1:7">
      <c r="A208" s="837" t="str">
        <f t="shared" si="2"/>
        <v>3NoMedium40</v>
      </c>
      <c r="B208" s="838">
        <v>3</v>
      </c>
      <c r="C208" s="838" t="s">
        <v>420</v>
      </c>
      <c r="D208" s="838" t="s">
        <v>539</v>
      </c>
      <c r="E208" s="838">
        <v>40</v>
      </c>
      <c r="F208" s="838">
        <v>100</v>
      </c>
      <c r="G208" s="839">
        <v>2.67</v>
      </c>
    </row>
    <row r="209" spans="1:7">
      <c r="A209" s="837" t="str">
        <f t="shared" ref="A209:A211" si="3">B209&amp;C209&amp;D209&amp;E209</f>
        <v>3NoHigh10</v>
      </c>
      <c r="B209" s="838">
        <v>3</v>
      </c>
      <c r="C209" s="838" t="s">
        <v>420</v>
      </c>
      <c r="D209" s="838" t="s">
        <v>540</v>
      </c>
      <c r="E209" s="838">
        <v>10</v>
      </c>
      <c r="F209" s="838">
        <v>93</v>
      </c>
      <c r="G209" s="839">
        <v>2.4900000000000002</v>
      </c>
    </row>
    <row r="210" spans="1:7">
      <c r="A210" s="837" t="str">
        <f t="shared" si="3"/>
        <v>3NoHigh20</v>
      </c>
      <c r="B210" s="838">
        <v>3</v>
      </c>
      <c r="C210" s="838" t="s">
        <v>420</v>
      </c>
      <c r="D210" s="838" t="s">
        <v>540</v>
      </c>
      <c r="E210" s="838">
        <v>20</v>
      </c>
      <c r="F210" s="838">
        <v>93</v>
      </c>
      <c r="G210" s="839">
        <v>2.4900000000000002</v>
      </c>
    </row>
    <row r="211" spans="1:7">
      <c r="A211" s="837" t="str">
        <f t="shared" si="3"/>
        <v>3NoHigh30</v>
      </c>
      <c r="B211" s="838">
        <v>3</v>
      </c>
      <c r="C211" s="838" t="s">
        <v>420</v>
      </c>
      <c r="D211" s="838" t="s">
        <v>540</v>
      </c>
      <c r="E211" s="838">
        <v>30</v>
      </c>
      <c r="F211" s="838">
        <v>95</v>
      </c>
      <c r="G211" s="839">
        <v>2.5499999999999998</v>
      </c>
    </row>
    <row r="212" spans="1:7">
      <c r="A212" s="840" t="s">
        <v>204</v>
      </c>
      <c r="B212" s="838"/>
      <c r="C212" s="838"/>
      <c r="D212" s="838"/>
      <c r="E212" s="838"/>
      <c r="F212" s="838">
        <v>0</v>
      </c>
      <c r="G212" s="839">
        <v>0</v>
      </c>
    </row>
    <row r="213" spans="1:7">
      <c r="A213" s="840" t="s">
        <v>203</v>
      </c>
      <c r="B213" s="838"/>
      <c r="C213" s="838"/>
      <c r="D213" s="838"/>
      <c r="E213" s="838"/>
      <c r="F213" s="838">
        <v>0</v>
      </c>
      <c r="G213" s="839">
        <v>0</v>
      </c>
    </row>
    <row r="214" spans="1:7">
      <c r="A214" s="840" t="s">
        <v>275</v>
      </c>
      <c r="B214" s="838"/>
      <c r="C214" s="838"/>
      <c r="D214" s="838"/>
      <c r="E214" s="838"/>
      <c r="F214" s="838">
        <v>0</v>
      </c>
      <c r="G214" s="839">
        <v>0</v>
      </c>
    </row>
    <row r="215" spans="1:7">
      <c r="A215" s="841" t="s">
        <v>202</v>
      </c>
      <c r="B215" s="838"/>
      <c r="C215" s="838"/>
      <c r="D215" s="838"/>
      <c r="E215" s="838"/>
      <c r="F215" s="838">
        <v>5</v>
      </c>
      <c r="G215" s="839">
        <v>0.05</v>
      </c>
    </row>
    <row r="216" spans="1:7">
      <c r="A216" s="841" t="s">
        <v>201</v>
      </c>
      <c r="B216" s="838"/>
      <c r="C216" s="838"/>
      <c r="D216" s="838"/>
      <c r="E216" s="838"/>
      <c r="F216" s="838">
        <v>13</v>
      </c>
      <c r="G216" s="839">
        <v>0.28999999999999998</v>
      </c>
    </row>
    <row r="217" spans="1:7" ht="15.75" thickBot="1">
      <c r="A217" s="842" t="s">
        <v>200</v>
      </c>
      <c r="B217" s="843"/>
      <c r="C217" s="843"/>
      <c r="D217" s="843"/>
      <c r="E217" s="843"/>
      <c r="F217" s="843">
        <v>10</v>
      </c>
      <c r="G217" s="844">
        <v>0.19</v>
      </c>
    </row>
    <row r="218" spans="1:7"/>
    <row r="219" spans="1:7" ht="15.75" thickBot="1">
      <c r="A219" s="17" t="s">
        <v>627</v>
      </c>
    </row>
    <row r="220" spans="1:7" s="17" customFormat="1" ht="15.75" thickBot="1">
      <c r="A220" s="845"/>
      <c r="B220" s="818" t="s">
        <v>512</v>
      </c>
      <c r="C220" s="819" t="s">
        <v>5</v>
      </c>
      <c r="D220" s="819" t="s">
        <v>6</v>
      </c>
      <c r="E220" s="819" t="s">
        <v>7</v>
      </c>
      <c r="F220" s="819" t="s">
        <v>8</v>
      </c>
      <c r="G220" s="820" t="s">
        <v>9</v>
      </c>
    </row>
    <row r="221" spans="1:7">
      <c r="A221" s="764" t="s">
        <v>538</v>
      </c>
      <c r="B221" s="794" t="str">
        <f>IF(code0="","",IF('I1'!F47&gt;12,3,IF('I1'!F47&gt;6,2,1)))</f>
        <v/>
      </c>
      <c r="C221" s="795" t="str">
        <f>IF(code1="","",IF('I1'!H47&gt;12,3,IF('I1'!H47&gt;6,2,1)))</f>
        <v/>
      </c>
      <c r="D221" s="795" t="str">
        <f>IF(code2="","",IF('I1'!J47&gt;12,3,IF('I1'!J47&gt;6,2,1)))</f>
        <v/>
      </c>
      <c r="E221" s="795" t="str">
        <f>IF(code3="","",IF('I1'!L47&gt;12,3,IF('I1'!L47&gt;6,2,1)))</f>
        <v/>
      </c>
      <c r="F221" s="795" t="str">
        <f>IF(code4="","",IF('I1'!N47&gt;12,3,IF('I1'!N47&gt;6,2,1)))</f>
        <v/>
      </c>
      <c r="G221" s="796" t="str">
        <f>IF(code5="","",IF('I1'!P47&gt;12,3,IF('I1'!P47&gt;6,2,1)))</f>
        <v/>
      </c>
    </row>
    <row r="222" spans="1:7">
      <c r="A222" s="765" t="s">
        <v>541</v>
      </c>
      <c r="B222" s="797" t="str">
        <f>IF(code0="","",IF('I1'!F66="No","No",IF('I1'!F66="Yes (narrow)","Narrow","Wide")))</f>
        <v/>
      </c>
      <c r="C222" s="798" t="str">
        <f>IF(code1="","",IF('I1'!H66="No","No",IF('I1'!H66="Yes (narrow)","Narrow","Wide")))</f>
        <v/>
      </c>
      <c r="D222" s="798" t="str">
        <f>IF(code2="","",IF('I1'!J66="No","No",IF('I1'!J66="Yes (narrow)","Narrow","Wide")))</f>
        <v/>
      </c>
      <c r="E222" s="798" t="str">
        <f>IF(code3="","",IF('I1'!L66="No","No",IF('I1'!L66="Yes (narrow)","Narrow","Wide")))</f>
        <v/>
      </c>
      <c r="F222" s="798" t="str">
        <f>IF(code4="","",IF('I1'!N66="No","No",IF('I1'!N66="Yes (narrow)","Narrow","Wide")))</f>
        <v/>
      </c>
      <c r="G222" s="799" t="str">
        <f>IF(code5="","",IF('I1'!P66="No","No",IF('I1'!P66="Yes (narrow)","Narrow","Wide")))</f>
        <v/>
      </c>
    </row>
    <row r="223" spans="1:7">
      <c r="A223" s="765" t="s">
        <v>15</v>
      </c>
      <c r="B223" s="800" t="str">
        <f>IF(code0="","",SUM('I2'!G32:G35))</f>
        <v/>
      </c>
      <c r="C223" s="801" t="str">
        <f>IF(code1="","",SUM('I2'!N32:N35))</f>
        <v/>
      </c>
      <c r="D223" s="801" t="str">
        <f>IF(code2="","",SUM('I2'!U32:U35))</f>
        <v/>
      </c>
      <c r="E223" s="801" t="str">
        <f>IF(code3="","",SUM('I2'!AB32:AB35))</f>
        <v/>
      </c>
      <c r="F223" s="801" t="str">
        <f>IF(code4="","",SUM('I2'!AI32:AI35))</f>
        <v/>
      </c>
      <c r="G223" s="802" t="str">
        <f>IF(code5="","",SUM('I2'!AU32:AU35))</f>
        <v/>
      </c>
    </row>
    <row r="224" spans="1:7">
      <c r="A224" s="765"/>
      <c r="B224" s="803" t="str">
        <f>IF(B223&gt;50000,"High",IF(B223&gt;20000,"Medium",IF(B223&gt;0,"Low","")))</f>
        <v>High</v>
      </c>
      <c r="C224" s="804" t="str">
        <f>IF(C223&gt;50000,"High",IF(C223&gt;20000,"Medium",IF(C223&gt;0,"Low","")))</f>
        <v>High</v>
      </c>
      <c r="D224" s="804" t="str">
        <f>IF(D223&gt;50000,"High",IF(D223&gt;20000,"Medium",IF(D223&gt;0,"Low","")))</f>
        <v>High</v>
      </c>
      <c r="E224" s="804" t="str">
        <f>IF(E223&gt;50000,"High",IF(E223&gt;20000,"Medium",IF(E223&gt;0,"Low","")))</f>
        <v>High</v>
      </c>
      <c r="F224" s="804" t="str">
        <f>IF(F223&gt;50000,"High",IF(F223&gt;20000,"Medium",IF(F223&gt;0,"Low","")))</f>
        <v>High</v>
      </c>
      <c r="G224" s="805"/>
    </row>
    <row r="225" spans="1:7">
      <c r="A225" s="765" t="s">
        <v>297</v>
      </c>
      <c r="B225" s="806" t="str">
        <f>IF(code0="","",SUMPRODUCT(NOT(ISBLANK('I2'!H32:H35))*'I2'!G32:G35*'I2'!H32:H35)/SUM('I2'!G32:G35))</f>
        <v/>
      </c>
      <c r="C225" s="807" t="str">
        <f>IF(code1="","",SUMPRODUCT(NOT(ISBLANK('I2'!O32:O35))*'I2'!N32:N35*'I2'!O32:O35)/SUM('I2'!N32:N35))</f>
        <v/>
      </c>
      <c r="D225" s="807" t="str">
        <f>IF(code2="","",SUMPRODUCT(NOT(ISBLANK('I2'!V32:V35))*'I2'!U32:U35*'I2'!V32:V35)/SUM('I2'!U32:U35))</f>
        <v/>
      </c>
      <c r="E225" s="807" t="str">
        <f>IF(code3="","",SUMPRODUCT(NOT(ISBLANK('I2'!AC32:AC35))*'I2'!AB32:AB35*'I2'!AC32:AC35)/SUM('I2'!AB32:AB35))</f>
        <v/>
      </c>
      <c r="F225" s="807" t="str">
        <f>IF(code4="","",SUMPRODUCT(NOT(ISBLANK('I2'!AJ32:AJ35))*'I2'!AI32:AI35*'I2'!AJ32:AJ35)/SUM('I2'!AI32:AI35))</f>
        <v/>
      </c>
      <c r="G225" s="808" t="str">
        <f>IF(code5="","",SUMPRODUCT(NOT(ISBLANK('I2'!AV32:AV35))*'I2'!AU32:AU35*'I2'!AV32:AV35)/SUM('I2'!AU32:AU35))</f>
        <v/>
      </c>
    </row>
    <row r="226" spans="1:7">
      <c r="A226" s="765"/>
      <c r="B226" s="809" t="str">
        <f t="shared" ref="B226:G226" si="4">IFERROR(IF(B225*0.621371&gt;35,40,IF(B225*0.621371&gt;25,30,IF(B225*0.621371&gt;15,20,IF(B225*0.621371&gt;0,10,"")))),"")</f>
        <v/>
      </c>
      <c r="C226" s="810" t="str">
        <f t="shared" si="4"/>
        <v/>
      </c>
      <c r="D226" s="810" t="str">
        <f t="shared" si="4"/>
        <v/>
      </c>
      <c r="E226" s="810" t="str">
        <f t="shared" si="4"/>
        <v/>
      </c>
      <c r="F226" s="810" t="str">
        <f t="shared" si="4"/>
        <v/>
      </c>
      <c r="G226" s="811" t="str">
        <f t="shared" si="4"/>
        <v/>
      </c>
    </row>
    <row r="227" spans="1:7">
      <c r="A227" s="765" t="s">
        <v>631</v>
      </c>
      <c r="B227" s="812" t="str">
        <f t="shared" ref="B227:G227" si="5">B221&amp;B222&amp;B224&amp;B226</f>
        <v>High</v>
      </c>
      <c r="C227" s="813" t="str">
        <f t="shared" si="5"/>
        <v>High</v>
      </c>
      <c r="D227" s="813" t="str">
        <f t="shared" si="5"/>
        <v>High</v>
      </c>
      <c r="E227" s="813" t="str">
        <f t="shared" si="5"/>
        <v>High</v>
      </c>
      <c r="F227" s="813" t="str">
        <f t="shared" si="5"/>
        <v>High</v>
      </c>
      <c r="G227" s="814" t="str">
        <f t="shared" si="5"/>
        <v/>
      </c>
    </row>
    <row r="228" spans="1:7">
      <c r="A228" s="765" t="s">
        <v>632</v>
      </c>
      <c r="B228" s="815" t="str">
        <f t="shared" ref="B228:G228" si="6">IFERROR(VLOOKUP(B227,comsev_table,6,0),"")</f>
        <v/>
      </c>
      <c r="C228" s="816" t="str">
        <f t="shared" si="6"/>
        <v/>
      </c>
      <c r="D228" s="816" t="str">
        <f t="shared" si="6"/>
        <v/>
      </c>
      <c r="E228" s="816" t="str">
        <f t="shared" si="6"/>
        <v/>
      </c>
      <c r="F228" s="816" t="str">
        <f t="shared" si="6"/>
        <v/>
      </c>
      <c r="G228" s="817" t="str">
        <f t="shared" si="6"/>
        <v/>
      </c>
    </row>
    <row r="229" spans="1:7" ht="15.75" thickBot="1">
      <c r="A229" s="766" t="s">
        <v>630</v>
      </c>
      <c r="B229" s="830" t="str">
        <f>IFERROR(VLOOKUP(B227,comsev_table,7,0),"")</f>
        <v/>
      </c>
      <c r="C229" s="831" t="str">
        <f>IFERROR(VLOOKUP(C227,comsev_table,7,0),"")</f>
        <v/>
      </c>
      <c r="D229" s="831" t="str">
        <f>IFERROR(VLOOKUP(D227,comsev_table,7,0),"")</f>
        <v/>
      </c>
      <c r="E229" s="831" t="str">
        <f>IFERROR(VLOOKUP(E227,comsev_table,7,0),"")</f>
        <v/>
      </c>
      <c r="F229" s="831" t="str">
        <f>IFERROR(VLOOKUP(F227,comsev_table,7,0),"")</f>
        <v/>
      </c>
      <c r="G229" s="832"/>
    </row>
    <row r="230" spans="1:7">
      <c r="A230" s="764" t="s">
        <v>629</v>
      </c>
      <c r="B230" s="821" t="str">
        <f>IF(code0="","",SUM('I1'!F57:F62))</f>
        <v/>
      </c>
      <c r="C230" s="822" t="str">
        <f>IF(code1="","",SUM('I1'!H57:H62))</f>
        <v/>
      </c>
      <c r="D230" s="822" t="str">
        <f>IF(code2="","",SUM('I1'!J57:J62))</f>
        <v/>
      </c>
      <c r="E230" s="822" t="str">
        <f>IF(code3="","",SUM('I1'!L57:L62))</f>
        <v/>
      </c>
      <c r="F230" s="822" t="str">
        <f>IF(code4="","",SUM('I1'!N57:N62))</f>
        <v/>
      </c>
      <c r="G230" s="823" t="str">
        <f>IF(code5="","",SUM('I1'!P57:P62))</f>
        <v/>
      </c>
    </row>
    <row r="231" spans="1:7">
      <c r="A231" s="765" t="s">
        <v>633</v>
      </c>
      <c r="B231" s="806" t="str">
        <f>IF(code0="","",SUMPRODUCT('I1'!F57:F62,Iaux!$F212:$F217))</f>
        <v/>
      </c>
      <c r="C231" s="807" t="str">
        <f>IF(code1="","",SUMPRODUCT('I1'!H57:H62,Iaux!$F212:$F217))</f>
        <v/>
      </c>
      <c r="D231" s="807" t="str">
        <f>IF(code2="","",SUMPRODUCT('I1'!J57:J62,Iaux!$F212:$F217))</f>
        <v/>
      </c>
      <c r="E231" s="807" t="str">
        <f>IF(code3="","",SUMPRODUCT('I1'!L57:L62,Iaux!$F212:$F217))</f>
        <v/>
      </c>
      <c r="F231" s="807" t="str">
        <f>IF(code4="","",SUMPRODUCT('I1'!N57:N62,Iaux!$F212:$F217))</f>
        <v/>
      </c>
      <c r="G231" s="808" t="str">
        <f>IF(code5="","",SUMPRODUCT('I1'!P57:P62,Iaux!$F212:$F217))</f>
        <v/>
      </c>
    </row>
    <row r="232" spans="1:7" ht="15.75" thickBot="1">
      <c r="A232" s="766" t="s">
        <v>548</v>
      </c>
      <c r="B232" s="824" t="str">
        <f>IF(code0="","",SUMPRODUCT('I1'!F57:F62,Iaux!$G213:$G218))</f>
        <v/>
      </c>
      <c r="C232" s="825" t="str">
        <f>IF(code1="","",SUMPRODUCT('I1'!H57:H62,Iaux!$G213:$G218))</f>
        <v/>
      </c>
      <c r="D232" s="825" t="str">
        <f>IF(code2="","",SUMPRODUCT('I1'!J57:J62,Iaux!$G213:$G218))</f>
        <v/>
      </c>
      <c r="E232" s="825" t="str">
        <f>IF(code3="","",SUMPRODUCT('I1'!L57:L62,Iaux!$G213:$G218))</f>
        <v/>
      </c>
      <c r="F232" s="825" t="str">
        <f>IF(code4="","",SUMPRODUCT('I1'!N57:N62,Iaux!$G213:$G218))</f>
        <v/>
      </c>
      <c r="G232" s="826" t="str">
        <f>IF(code5="","",SUMPRODUCT('I1'!P57:P62,Iaux!$G213:$G218))</f>
        <v/>
      </c>
    </row>
    <row r="233" spans="1:7" ht="15.75" thickBot="1">
      <c r="A233" s="2"/>
      <c r="B233" s="876" t="s">
        <v>701</v>
      </c>
      <c r="C233" s="876" t="s">
        <v>702</v>
      </c>
      <c r="D233" s="876" t="s">
        <v>703</v>
      </c>
      <c r="E233" s="876" t="s">
        <v>704</v>
      </c>
      <c r="F233" s="876" t="s">
        <v>705</v>
      </c>
      <c r="G233" s="876" t="s">
        <v>706</v>
      </c>
    </row>
    <row r="234" spans="1:7" ht="15.75" thickBot="1">
      <c r="A234" s="877" t="s">
        <v>549</v>
      </c>
      <c r="B234" s="827" t="str">
        <f>IF(code0="","",0.01*(B228+B231)/(1+B230))</f>
        <v/>
      </c>
      <c r="C234" s="828" t="str">
        <f>IF(code1="","",0.01*(C228+C231)/(1+C230))</f>
        <v/>
      </c>
      <c r="D234" s="828" t="str">
        <f>IF(code2="","",0.01*(D228+D231)/(1+D230))</f>
        <v/>
      </c>
      <c r="E234" s="828" t="str">
        <f>IF(code3="","",0.01*(E228+E231)/(1+E230))</f>
        <v/>
      </c>
      <c r="F234" s="828" t="str">
        <f>IF(code4="","",0.01*(F228+F231)/(1+F230))</f>
        <v/>
      </c>
      <c r="G234" s="829" t="str">
        <f>IF(code5="","",(G228+G231)/(1+G230))</f>
        <v/>
      </c>
    </row>
    <row r="235" spans="1:7">
      <c r="A235" s="2"/>
      <c r="B235" s="847"/>
      <c r="C235" s="847"/>
      <c r="D235" s="847"/>
      <c r="E235" s="847"/>
      <c r="F235" s="847"/>
      <c r="G235" s="848"/>
    </row>
    <row r="236" spans="1:7" s="2" customFormat="1" ht="15.75" thickBot="1">
      <c r="A236" s="846" t="s">
        <v>640</v>
      </c>
      <c r="B236" s="847"/>
      <c r="C236" s="847"/>
      <c r="D236" s="847"/>
      <c r="E236" s="847"/>
      <c r="F236" s="847"/>
      <c r="G236" s="848"/>
    </row>
    <row r="237" spans="1:7">
      <c r="A237" s="854" t="s">
        <v>628</v>
      </c>
      <c r="B237" s="868" t="str">
        <f>IF(code0="","",(B229+B232)/(1+B230))</f>
        <v/>
      </c>
      <c r="C237" s="869" t="str">
        <f>IF(code1="","",(C229+C232)/(1+C230))</f>
        <v/>
      </c>
      <c r="D237" s="869" t="str">
        <f>IF(code2="","",(D229+D232)/(1+D230))</f>
        <v/>
      </c>
      <c r="E237" s="869" t="str">
        <f>IF(code3="","",(E229+E232)/(1+E230))</f>
        <v/>
      </c>
      <c r="F237" s="869" t="str">
        <f>IF(code4="","",(F229+F232)/(1+F230))</f>
        <v/>
      </c>
      <c r="G237" s="870" t="str">
        <f>IF(code5="","",(G229+G232)/(1+G231))</f>
        <v/>
      </c>
    </row>
    <row r="238" spans="1:7">
      <c r="A238" s="849" t="s">
        <v>545</v>
      </c>
      <c r="B238" s="837">
        <v>107</v>
      </c>
      <c r="C238" s="838">
        <v>107</v>
      </c>
      <c r="D238" s="838">
        <v>107</v>
      </c>
      <c r="E238" s="838">
        <v>107</v>
      </c>
      <c r="F238" s="838">
        <v>107</v>
      </c>
      <c r="G238" s="839">
        <v>107</v>
      </c>
    </row>
    <row r="239" spans="1:7" ht="15.75" thickBot="1">
      <c r="A239" s="850" t="s">
        <v>546</v>
      </c>
      <c r="B239" s="851" t="str">
        <f>IF(code0="","",B237*B238/100)</f>
        <v/>
      </c>
      <c r="C239" s="852" t="str">
        <f>IF(code1="","",C237*C238/100)</f>
        <v/>
      </c>
      <c r="D239" s="852" t="str">
        <f>IF(code2="","",D237*D238/100)</f>
        <v/>
      </c>
      <c r="E239" s="852" t="str">
        <f>IF(code3="","",E237*E238/100)</f>
        <v/>
      </c>
      <c r="F239" s="852" t="str">
        <f>IF(code4="","",F237*F238/100)</f>
        <v/>
      </c>
      <c r="G239" s="853" t="str">
        <f>IF(code5="","",G237*G238/100)</f>
        <v/>
      </c>
    </row>
    <row r="240" spans="1:7">
      <c r="A240" s="854" t="s">
        <v>355</v>
      </c>
      <c r="B240" s="855" t="str">
        <f>IF(code0="","",B239*euro_to_pound)</f>
        <v/>
      </c>
      <c r="C240" s="856" t="str">
        <f>IF(code1="","",C239*euro_to_pound)</f>
        <v/>
      </c>
      <c r="D240" s="856" t="str">
        <f>IF(code2="","",D239*euro_to_pound)</f>
        <v/>
      </c>
      <c r="E240" s="856" t="str">
        <f>IF(code3="","",E239*euro_to_pound)</f>
        <v/>
      </c>
      <c r="F240" s="856" t="str">
        <f>IF(code4="","",F239*euro_to_pound)</f>
        <v/>
      </c>
      <c r="G240" s="857" t="str">
        <f>IF(code5="","",G239*euro_to_pound)</f>
        <v/>
      </c>
    </row>
    <row r="241" spans="1:7">
      <c r="A241" s="849" t="s">
        <v>356</v>
      </c>
      <c r="B241" s="858" t="str">
        <f>IF(code0="","",B239*sek_to_pound)</f>
        <v/>
      </c>
      <c r="C241" s="859" t="str">
        <f>IF(code1="","",C239*sek_to_pound)</f>
        <v/>
      </c>
      <c r="D241" s="859" t="str">
        <f>IF(code2="","",D239*sek_to_pound)</f>
        <v/>
      </c>
      <c r="E241" s="859" t="str">
        <f>IF(code3="","",E239*sek_to_pound)</f>
        <v/>
      </c>
      <c r="F241" s="859" t="str">
        <f>IF(code4="","",F239*sek_to_pound)</f>
        <v/>
      </c>
      <c r="G241" s="860" t="str">
        <f>IF(code5="","",G239*sek_to_pound)</f>
        <v/>
      </c>
    </row>
    <row r="242" spans="1:7">
      <c r="A242" s="849" t="s">
        <v>357</v>
      </c>
      <c r="B242" s="861" t="str">
        <f>IF(code0="","",B239*huf_to_pound)</f>
        <v/>
      </c>
      <c r="C242" s="862" t="str">
        <f>IF(code1="","",C239*huf_to_pound)</f>
        <v/>
      </c>
      <c r="D242" s="862" t="str">
        <f>IF(code2="","",D239*huf_to_pound)</f>
        <v/>
      </c>
      <c r="E242" s="862" t="str">
        <f>IF(code3="","",E239*huf_to_pound)</f>
        <v/>
      </c>
      <c r="F242" s="862" t="str">
        <f>IF(code4="","",F239*huf_to_pound)</f>
        <v/>
      </c>
      <c r="G242" s="863" t="str">
        <f>IF(code5="","",G239*huf_to_pound)</f>
        <v/>
      </c>
    </row>
    <row r="243" spans="1:7" ht="15.75" thickBot="1">
      <c r="A243" s="864" t="s">
        <v>358</v>
      </c>
      <c r="B243" s="865" t="str">
        <f>IF(code0="","",B239*ron_to_pound)</f>
        <v/>
      </c>
      <c r="C243" s="866" t="str">
        <f>IF(code1="","",C239*ron_to_pound)</f>
        <v/>
      </c>
      <c r="D243" s="866" t="str">
        <f>IF(code2="","",D239*ron_to_pound)</f>
        <v/>
      </c>
      <c r="E243" s="866" t="str">
        <f>IF(code3="","",E239*ron_to_pound)</f>
        <v/>
      </c>
      <c r="F243" s="866" t="str">
        <f>IF(code4="","",F239*ron_to_pound)</f>
        <v/>
      </c>
      <c r="G243" s="867" t="str">
        <f>IF(code5="","",G239*ron_to_pound)</f>
        <v/>
      </c>
    </row>
    <row r="244" spans="1:7"/>
    <row r="245" spans="1:7" hidden="1"/>
    <row r="246" spans="1:7" hidden="1"/>
    <row r="247" spans="1:7" hidden="1"/>
    <row r="248" spans="1:7" hidden="1"/>
    <row r="249" spans="1:7" hidden="1"/>
    <row r="250" spans="1:7" hidden="1"/>
    <row r="251" spans="1:7" hidden="1"/>
    <row r="252" spans="1:7" hidden="1"/>
    <row r="253" spans="1:7" hidden="1"/>
    <row r="254" spans="1:7" hidden="1"/>
    <row r="255" spans="1:7" hidden="1"/>
    <row r="256" spans="1:7" hidden="1"/>
    <row r="257" hidden="1"/>
    <row r="258" hidden="1"/>
    <row r="259" hidden="1"/>
    <row r="260" hidden="1"/>
    <row r="261" hidden="1"/>
    <row r="262" hidden="1"/>
    <row r="263" hidden="1"/>
    <row r="264" hidden="1"/>
    <row r="265" hidden="1"/>
    <row r="266"/>
    <row r="267"/>
    <row r="268"/>
    <row r="269"/>
    <row r="270"/>
  </sheetData>
  <pageMargins left="0.7" right="0.7" top="0.75" bottom="0.75" header="0.3" footer="0.3"/>
  <pageSetup paperSize="9" orientation="portrait" r:id="rId1"/>
  <ignoredErrors>
    <ignoredError sqref="B232:G232 B231:G231" formulaRange="1"/>
  </ignoredErrors>
</worksheet>
</file>

<file path=xl/worksheets/sheet9.xml><?xml version="1.0" encoding="utf-8"?>
<worksheet xmlns="http://schemas.openxmlformats.org/spreadsheetml/2006/main" xmlns:r="http://schemas.openxmlformats.org/officeDocument/2006/relationships">
  <sheetPr>
    <tabColor rgb="FF00AF3D"/>
  </sheetPr>
  <dimension ref="A1:W22"/>
  <sheetViews>
    <sheetView zoomScaleNormal="100" workbookViewId="0">
      <selection activeCell="B2" sqref="B2:O2"/>
    </sheetView>
  </sheetViews>
  <sheetFormatPr defaultColWidth="0" defaultRowHeight="0" customHeight="1" zeroHeight="1"/>
  <cols>
    <col min="1" max="1" width="3.85546875" style="28" customWidth="1"/>
    <col min="2" max="2" width="2.42578125" style="28" customWidth="1"/>
    <col min="3" max="3" width="3.7109375" style="28" customWidth="1"/>
    <col min="4" max="8" width="8.85546875" style="28" customWidth="1"/>
    <col min="9" max="9" width="3.7109375" style="28" customWidth="1"/>
    <col min="10" max="14" width="8.85546875" style="28" customWidth="1"/>
    <col min="15" max="15" width="2.5703125" style="28" customWidth="1"/>
    <col min="16" max="16" width="3.7109375" style="28" customWidth="1"/>
    <col min="17" max="23" width="0" style="28" hidden="1" customWidth="1"/>
    <col min="24" max="16384" width="8.85546875" style="28" hidden="1"/>
  </cols>
  <sheetData>
    <row r="1" spans="1:19" ht="15" customHeight="1" thickBot="1">
      <c r="P1" s="29"/>
      <c r="Q1" s="29"/>
      <c r="R1" s="29"/>
      <c r="S1" s="29"/>
    </row>
    <row r="2" spans="1:19" ht="30" customHeight="1" thickBot="1">
      <c r="A2" s="29"/>
      <c r="B2" s="1028" t="s">
        <v>186</v>
      </c>
      <c r="C2" s="1029"/>
      <c r="D2" s="1029"/>
      <c r="E2" s="1029"/>
      <c r="F2" s="1029"/>
      <c r="G2" s="1029"/>
      <c r="H2" s="1029"/>
      <c r="I2" s="1029"/>
      <c r="J2" s="1029"/>
      <c r="K2" s="1029"/>
      <c r="L2" s="1029"/>
      <c r="M2" s="1029"/>
      <c r="N2" s="1029"/>
      <c r="O2" s="1030"/>
      <c r="P2" s="29"/>
      <c r="Q2" s="29"/>
      <c r="R2" s="29"/>
      <c r="S2" s="29"/>
    </row>
    <row r="3" spans="1:19" ht="9.9499999999999993" customHeight="1">
      <c r="A3" s="29"/>
      <c r="B3" s="173"/>
      <c r="C3" s="174"/>
      <c r="D3" s="174"/>
      <c r="E3" s="174"/>
      <c r="F3" s="174"/>
      <c r="G3" s="174"/>
      <c r="H3" s="174"/>
      <c r="I3" s="174"/>
      <c r="J3" s="174"/>
      <c r="K3" s="174"/>
      <c r="L3" s="174"/>
      <c r="M3" s="174"/>
      <c r="N3" s="174"/>
      <c r="O3" s="175"/>
      <c r="P3" s="29"/>
      <c r="Q3" s="29"/>
      <c r="R3" s="29"/>
      <c r="S3" s="29"/>
    </row>
    <row r="4" spans="1:19" ht="15" customHeight="1">
      <c r="A4" s="29"/>
      <c r="B4" s="42"/>
      <c r="C4" s="41" t="s">
        <v>55</v>
      </c>
      <c r="D4" s="43"/>
      <c r="E4" s="43"/>
      <c r="F4" s="43"/>
      <c r="G4" s="43"/>
      <c r="H4" s="43"/>
      <c r="I4" s="43"/>
      <c r="J4" s="43"/>
      <c r="K4" s="43"/>
      <c r="L4" s="43"/>
      <c r="M4" s="43"/>
      <c r="N4" s="43"/>
      <c r="O4" s="44"/>
      <c r="P4" s="29"/>
      <c r="Q4" s="29"/>
      <c r="R4" s="29"/>
      <c r="S4" s="29"/>
    </row>
    <row r="5" spans="1:19" ht="9.9499999999999993" customHeight="1">
      <c r="B5" s="30"/>
      <c r="C5" s="40"/>
      <c r="D5" s="29"/>
      <c r="E5" s="29"/>
      <c r="F5" s="29"/>
      <c r="G5" s="29"/>
      <c r="H5" s="29"/>
      <c r="I5" s="29"/>
      <c r="J5" s="29"/>
      <c r="K5" s="29"/>
      <c r="L5" s="29"/>
      <c r="M5" s="29"/>
      <c r="N5" s="29"/>
      <c r="O5" s="31"/>
      <c r="P5" s="29"/>
      <c r="Q5" s="29"/>
      <c r="R5" s="29"/>
      <c r="S5" s="29"/>
    </row>
    <row r="6" spans="1:19" ht="15" customHeight="1">
      <c r="B6" s="30"/>
      <c r="C6" s="154" t="s">
        <v>79</v>
      </c>
      <c r="D6" s="974" t="s">
        <v>707</v>
      </c>
      <c r="E6" s="974"/>
      <c r="F6" s="974"/>
      <c r="G6" s="974"/>
      <c r="H6" s="974"/>
      <c r="I6" s="974"/>
      <c r="J6" s="974"/>
      <c r="K6" s="974"/>
      <c r="L6" s="974"/>
      <c r="M6" s="974"/>
      <c r="N6" s="974"/>
      <c r="O6" s="31"/>
      <c r="P6" s="29"/>
      <c r="Q6" s="29"/>
      <c r="R6" s="29"/>
      <c r="S6" s="29"/>
    </row>
    <row r="7" spans="1:19" ht="15" customHeight="1">
      <c r="B7" s="30"/>
      <c r="C7" s="154"/>
      <c r="D7" s="974"/>
      <c r="E7" s="974"/>
      <c r="F7" s="974"/>
      <c r="G7" s="974"/>
      <c r="H7" s="974"/>
      <c r="I7" s="974"/>
      <c r="J7" s="974"/>
      <c r="K7" s="974"/>
      <c r="L7" s="974"/>
      <c r="M7" s="974"/>
      <c r="N7" s="974"/>
      <c r="O7" s="31"/>
      <c r="P7" s="29"/>
      <c r="Q7" s="29"/>
      <c r="R7" s="29"/>
      <c r="S7" s="29"/>
    </row>
    <row r="8" spans="1:19" ht="15" customHeight="1">
      <c r="B8" s="30"/>
      <c r="C8" s="154"/>
      <c r="D8" s="974"/>
      <c r="E8" s="974"/>
      <c r="F8" s="974"/>
      <c r="G8" s="974"/>
      <c r="H8" s="974"/>
      <c r="I8" s="974"/>
      <c r="J8" s="974"/>
      <c r="K8" s="974"/>
      <c r="L8" s="974"/>
      <c r="M8" s="974"/>
      <c r="N8" s="974"/>
      <c r="O8" s="31"/>
      <c r="P8" s="29"/>
      <c r="Q8" s="29"/>
      <c r="R8" s="29"/>
      <c r="S8" s="29"/>
    </row>
    <row r="9" spans="1:19" ht="7.5" customHeight="1">
      <c r="B9" s="24"/>
      <c r="C9" s="154"/>
      <c r="D9" s="46"/>
      <c r="E9" s="97"/>
      <c r="F9" s="97"/>
      <c r="G9" s="97"/>
      <c r="H9" s="97"/>
      <c r="I9" s="97"/>
      <c r="J9" s="97"/>
      <c r="K9" s="97"/>
      <c r="L9" s="97"/>
      <c r="M9" s="97"/>
      <c r="N9" s="97"/>
      <c r="O9" s="20"/>
      <c r="P9" s="29"/>
      <c r="Q9" s="29"/>
      <c r="R9" s="29"/>
      <c r="S9" s="29"/>
    </row>
    <row r="10" spans="1:19" ht="18.75" customHeight="1">
      <c r="A10" s="29"/>
      <c r="B10" s="42"/>
      <c r="C10" s="41" t="s">
        <v>488</v>
      </c>
      <c r="D10" s="43"/>
      <c r="E10" s="43"/>
      <c r="F10" s="43"/>
      <c r="G10" s="43"/>
      <c r="H10" s="43"/>
      <c r="I10" s="43"/>
      <c r="J10" s="43"/>
      <c r="K10" s="43"/>
      <c r="L10" s="43"/>
      <c r="M10" s="43"/>
      <c r="N10" s="43"/>
      <c r="O10" s="44"/>
      <c r="P10" s="29"/>
      <c r="Q10" s="29"/>
      <c r="R10" s="29"/>
      <c r="S10" s="29"/>
    </row>
    <row r="11" spans="1:19" ht="9.9499999999999993" customHeight="1">
      <c r="B11" s="30"/>
      <c r="C11" s="40"/>
      <c r="D11" s="29"/>
      <c r="E11" s="29"/>
      <c r="F11" s="29"/>
      <c r="G11" s="29"/>
      <c r="H11" s="29"/>
      <c r="I11" s="29"/>
      <c r="J11" s="29"/>
      <c r="K11" s="29"/>
      <c r="L11" s="29"/>
      <c r="M11" s="29"/>
      <c r="N11" s="29"/>
      <c r="O11" s="31"/>
      <c r="P11" s="29"/>
      <c r="Q11" s="29"/>
      <c r="R11" s="29"/>
      <c r="S11" s="29"/>
    </row>
    <row r="12" spans="1:19" ht="15" customHeight="1">
      <c r="B12" s="30"/>
      <c r="C12" s="154" t="s">
        <v>79</v>
      </c>
      <c r="D12" s="48" t="s">
        <v>708</v>
      </c>
      <c r="E12" s="27"/>
      <c r="F12" s="27"/>
      <c r="G12" s="27"/>
      <c r="H12" s="27"/>
      <c r="I12" s="27"/>
      <c r="J12" s="27"/>
      <c r="K12" s="27"/>
      <c r="L12" s="27"/>
      <c r="M12" s="27"/>
      <c r="N12" s="27"/>
      <c r="O12" s="31"/>
      <c r="P12" s="29"/>
      <c r="Q12" s="29"/>
      <c r="R12" s="29"/>
      <c r="S12" s="29"/>
    </row>
    <row r="13" spans="1:19" ht="15" customHeight="1">
      <c r="B13" s="32"/>
      <c r="C13" s="154" t="s">
        <v>79</v>
      </c>
      <c r="D13" s="9" t="s">
        <v>709</v>
      </c>
      <c r="E13" s="27"/>
      <c r="F13" s="27"/>
      <c r="G13" s="27"/>
      <c r="H13" s="27"/>
      <c r="I13" s="27"/>
      <c r="J13" s="27"/>
      <c r="K13" s="27"/>
      <c r="L13" s="27"/>
      <c r="M13" s="27"/>
      <c r="N13" s="27"/>
      <c r="O13" s="31"/>
      <c r="P13" s="29"/>
      <c r="Q13" s="29"/>
      <c r="R13" s="29"/>
      <c r="S13" s="29"/>
    </row>
    <row r="14" spans="1:19" ht="9.75" customHeight="1">
      <c r="B14" s="33"/>
      <c r="C14" s="29"/>
      <c r="D14" s="29"/>
      <c r="E14" s="29"/>
      <c r="F14" s="29"/>
      <c r="G14" s="29"/>
      <c r="H14" s="29"/>
      <c r="I14" s="29"/>
      <c r="J14" s="29"/>
      <c r="K14" s="29"/>
      <c r="L14" s="29"/>
      <c r="M14" s="29"/>
      <c r="N14" s="29"/>
      <c r="O14" s="31"/>
    </row>
    <row r="15" spans="1:19" ht="18.75" customHeight="1">
      <c r="A15" s="29"/>
      <c r="B15" s="42"/>
      <c r="C15" s="41" t="s">
        <v>489</v>
      </c>
      <c r="D15" s="43"/>
      <c r="E15" s="43"/>
      <c r="F15" s="43"/>
      <c r="G15" s="43"/>
      <c r="H15" s="43"/>
      <c r="I15" s="43"/>
      <c r="J15" s="43"/>
      <c r="K15" s="43"/>
      <c r="L15" s="43"/>
      <c r="M15" s="43"/>
      <c r="N15" s="43"/>
      <c r="O15" s="44"/>
      <c r="P15" s="29"/>
      <c r="Q15" s="29"/>
      <c r="R15" s="29"/>
      <c r="S15" s="29"/>
    </row>
    <row r="16" spans="1:19" ht="9.9499999999999993" customHeight="1">
      <c r="B16" s="30"/>
      <c r="C16" s="40"/>
      <c r="D16" s="29"/>
      <c r="E16" s="29"/>
      <c r="F16" s="29"/>
      <c r="G16" s="29"/>
      <c r="H16" s="29"/>
      <c r="I16" s="29"/>
      <c r="J16" s="29"/>
      <c r="K16" s="29"/>
      <c r="L16" s="29"/>
      <c r="M16" s="29"/>
      <c r="N16" s="29"/>
      <c r="O16" s="31"/>
      <c r="P16" s="29"/>
      <c r="Q16" s="29"/>
      <c r="R16" s="29"/>
      <c r="S16" s="29"/>
    </row>
    <row r="17" spans="2:19" ht="15" customHeight="1">
      <c r="B17" s="30"/>
      <c r="C17" s="154" t="s">
        <v>79</v>
      </c>
      <c r="D17" s="48" t="s">
        <v>490</v>
      </c>
      <c r="E17" s="27"/>
      <c r="F17" s="27"/>
      <c r="G17" s="27"/>
      <c r="H17" s="27"/>
      <c r="I17" s="27"/>
      <c r="J17" s="27"/>
      <c r="K17" s="27"/>
      <c r="L17" s="27"/>
      <c r="M17" s="27"/>
      <c r="N17" s="27"/>
      <c r="O17" s="31"/>
      <c r="P17" s="29"/>
      <c r="Q17" s="29"/>
      <c r="R17" s="29"/>
      <c r="S17" s="29"/>
    </row>
    <row r="18" spans="2:19" ht="30" customHeight="1">
      <c r="B18" s="32"/>
      <c r="C18" s="154" t="s">
        <v>79</v>
      </c>
      <c r="D18" s="974" t="s">
        <v>710</v>
      </c>
      <c r="E18" s="1031"/>
      <c r="F18" s="1031"/>
      <c r="G18" s="1031"/>
      <c r="H18" s="1031"/>
      <c r="I18" s="1031"/>
      <c r="J18" s="1031"/>
      <c r="K18" s="1031"/>
      <c r="L18" s="1031"/>
      <c r="M18" s="1031"/>
      <c r="N18" s="1031"/>
      <c r="O18" s="31"/>
      <c r="P18" s="29"/>
      <c r="Q18" s="29"/>
      <c r="R18" s="29"/>
      <c r="S18" s="29"/>
    </row>
    <row r="19" spans="2:19" ht="15" customHeight="1" thickBot="1">
      <c r="B19" s="37"/>
      <c r="C19" s="38"/>
      <c r="D19" s="38"/>
      <c r="E19" s="38"/>
      <c r="F19" s="38"/>
      <c r="G19" s="38"/>
      <c r="H19" s="38"/>
      <c r="I19" s="38"/>
      <c r="J19" s="38"/>
      <c r="K19" s="38"/>
      <c r="L19" s="38"/>
      <c r="M19" s="38"/>
      <c r="N19" s="38"/>
      <c r="O19" s="39"/>
    </row>
    <row r="20" spans="2:19" ht="15" customHeight="1"/>
    <row r="21" spans="2:19" ht="15" hidden="1" customHeight="1"/>
    <row r="22" spans="2:19" ht="15" customHeight="1"/>
  </sheetData>
  <mergeCells count="3">
    <mergeCell ref="B2:O2"/>
    <mergeCell ref="D6:N8"/>
    <mergeCell ref="D18:N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245</vt:i4>
      </vt:variant>
    </vt:vector>
  </HeadingPairs>
  <TitlesOfParts>
    <vt:vector size="264" baseType="lpstr">
      <vt:lpstr>Front1</vt:lpstr>
      <vt:lpstr>Front2</vt:lpstr>
      <vt:lpstr>Front3</vt:lpstr>
      <vt:lpstr>I1</vt:lpstr>
      <vt:lpstr>I2</vt:lpstr>
      <vt:lpstr>I3</vt:lpstr>
      <vt:lpstr>I4</vt:lpstr>
      <vt:lpstr>Iaux</vt:lpstr>
      <vt:lpstr>PTA</vt:lpstr>
      <vt:lpstr>PTAin</vt:lpstr>
      <vt:lpstr>PTAout</vt:lpstr>
      <vt:lpstr>CBA</vt:lpstr>
      <vt:lpstr>CBAin</vt:lpstr>
      <vt:lpstr>CBAout</vt:lpstr>
      <vt:lpstr>CBAaux</vt:lpstr>
      <vt:lpstr>MCA</vt:lpstr>
      <vt:lpstr>MCAin</vt:lpstr>
      <vt:lpstr>MCAout</vt:lpstr>
      <vt:lpstr>MCAaux</vt:lpstr>
      <vt:lpstr>assessor1</vt:lpstr>
      <vt:lpstr>assessor2</vt:lpstr>
      <vt:lpstr>assessor3</vt:lpstr>
      <vt:lpstr>assessor4</vt:lpstr>
      <vt:lpstr>assessor5</vt:lpstr>
      <vt:lpstr>assessor6</vt:lpstr>
      <vt:lpstr>assessor7</vt:lpstr>
      <vt:lpstr>assessor8</vt:lpstr>
      <vt:lpstr>car_occupancy</vt:lpstr>
      <vt:lpstr>cities</vt:lpstr>
      <vt:lpstr>cities_data</vt:lpstr>
      <vt:lpstr>city</vt:lpstr>
      <vt:lpstr>code0</vt:lpstr>
      <vt:lpstr>code1</vt:lpstr>
      <vt:lpstr>code2</vt:lpstr>
      <vt:lpstr>code3</vt:lpstr>
      <vt:lpstr>code4</vt:lpstr>
      <vt:lpstr>code5</vt:lpstr>
      <vt:lpstr>comsev_table</vt:lpstr>
      <vt:lpstr>comsev_values</vt:lpstr>
      <vt:lpstr>comsev0</vt:lpstr>
      <vt:lpstr>comsev1</vt:lpstr>
      <vt:lpstr>comsev2</vt:lpstr>
      <vt:lpstr>comsev3</vt:lpstr>
      <vt:lpstr>comsev4</vt:lpstr>
      <vt:lpstr>comsev5</vt:lpstr>
      <vt:lpstr>country</vt:lpstr>
      <vt:lpstr>currency</vt:lpstr>
      <vt:lpstr>cycle0</vt:lpstr>
      <vt:lpstr>cycle1</vt:lpstr>
      <vt:lpstr>cycle2</vt:lpstr>
      <vt:lpstr>cycle3</vt:lpstr>
      <vt:lpstr>cycle4</vt:lpstr>
      <vt:lpstr>cycle5</vt:lpstr>
      <vt:lpstr>cyclewidth0</vt:lpstr>
      <vt:lpstr>cyclewidth1</vt:lpstr>
      <vt:lpstr>cyclewidth2</vt:lpstr>
      <vt:lpstr>cyclewidth3</vt:lpstr>
      <vt:lpstr>cyclewidth4</vt:lpstr>
      <vt:lpstr>cyclewidth5</vt:lpstr>
      <vt:lpstr>disab_cross0</vt:lpstr>
      <vt:lpstr>disab_cross1</vt:lpstr>
      <vt:lpstr>disab_cross2</vt:lpstr>
      <vt:lpstr>disab_cross3</vt:lpstr>
      <vt:lpstr>disab_cross4</vt:lpstr>
      <vt:lpstr>disab_cross5</vt:lpstr>
      <vt:lpstr>disab_pav0</vt:lpstr>
      <vt:lpstr>disab_pav1</vt:lpstr>
      <vt:lpstr>disab_pav2</vt:lpstr>
      <vt:lpstr>disab_pav3</vt:lpstr>
      <vt:lpstr>disab_pav4</vt:lpstr>
      <vt:lpstr>disab_pav5</vt:lpstr>
      <vt:lpstr>euro_to_pound</vt:lpstr>
      <vt:lpstr>euro_to_sek</vt:lpstr>
      <vt:lpstr>green0</vt:lpstr>
      <vt:lpstr>green1</vt:lpstr>
      <vt:lpstr>green2</vt:lpstr>
      <vt:lpstr>green3</vt:lpstr>
      <vt:lpstr>green4</vt:lpstr>
      <vt:lpstr>green5</vt:lpstr>
      <vt:lpstr>huf_to_pound</vt:lpstr>
      <vt:lpstr>huf_to_sek</vt:lpstr>
      <vt:lpstr>length</vt:lpstr>
      <vt:lpstr>list_CBA_cong_car</vt:lpstr>
      <vt:lpstr>list_CBA_damage</vt:lpstr>
      <vt:lpstr>list_CBA_delays_bus</vt:lpstr>
      <vt:lpstr>list_CBA_delays_car</vt:lpstr>
      <vt:lpstr>list_CBA_delays_cycle</vt:lpstr>
      <vt:lpstr>list_CBA_delays_gv</vt:lpstr>
      <vt:lpstr>list_CBA_delays_peds</vt:lpstr>
      <vt:lpstr>list_CBA_design_cycle_lane</vt:lpstr>
      <vt:lpstr>list_CBA_design_cycle_sharedbus</vt:lpstr>
      <vt:lpstr>list_CBA_design_cycle_track</vt:lpstr>
      <vt:lpstr>list_CBA_design_cycle_wide</vt:lpstr>
      <vt:lpstr>list_CBA_fatality</vt:lpstr>
      <vt:lpstr>list_CBA_no2</vt:lpstr>
      <vt:lpstr>list_CBA_noise</vt:lpstr>
      <vt:lpstr>list_CBA_park_cycle</vt:lpstr>
      <vt:lpstr>list_CBA_pm10</vt:lpstr>
      <vt:lpstr>list_CBA_pm2</vt:lpstr>
      <vt:lpstr>list_CBA_reliab_car</vt:lpstr>
      <vt:lpstr>list_CBA_serious</vt:lpstr>
      <vt:lpstr>list_CBA_severance</vt:lpstr>
      <vt:lpstr>list_CBA_slight</vt:lpstr>
      <vt:lpstr>list_CBA_vot_bus</vt:lpstr>
      <vt:lpstr>list_CBA_vot_car</vt:lpstr>
      <vt:lpstr>list_CBA_vot_cyclists</vt:lpstr>
      <vt:lpstr>list_CBA_vot_gv</vt:lpstr>
      <vt:lpstr>list_CBA_vot_moto</vt:lpstr>
      <vt:lpstr>list_CBA_vot_peds</vt:lpstr>
      <vt:lpstr>list1_cycle</vt:lpstr>
      <vt:lpstr>list1_micro</vt:lpstr>
      <vt:lpstr>list2_delay</vt:lpstr>
      <vt:lpstr>list2_reliability</vt:lpstr>
      <vt:lpstr>list2_speed</vt:lpstr>
      <vt:lpstr>list2_traveltime</vt:lpstr>
      <vt:lpstr>list2_tripquality</vt:lpstr>
      <vt:lpstr>list2_volume</vt:lpstr>
      <vt:lpstr>list3_person_duration</vt:lpstr>
      <vt:lpstr>list3_person_number</vt:lpstr>
      <vt:lpstr>list3_person_quality</vt:lpstr>
      <vt:lpstr>list3_vehicle_duration</vt:lpstr>
      <vt:lpstr>list3_vehicle_number</vt:lpstr>
      <vt:lpstr>list3_vehicle_quality</vt:lpstr>
      <vt:lpstr>list4_climate</vt:lpstr>
      <vt:lpstr>list4_co2</vt:lpstr>
      <vt:lpstr>list4_damage</vt:lpstr>
      <vt:lpstr>list4_energy</vt:lpstr>
      <vt:lpstr>list4_expenditure</vt:lpstr>
      <vt:lpstr>list4_fatalities</vt:lpstr>
      <vt:lpstr>list4_green</vt:lpstr>
      <vt:lpstr>list4_inclusion</vt:lpstr>
      <vt:lpstr>list4_interaction</vt:lpstr>
      <vt:lpstr>list4_no2</vt:lpstr>
      <vt:lpstr>list4_noise</vt:lpstr>
      <vt:lpstr>list4_physicalactivity</vt:lpstr>
      <vt:lpstr>list4_pm10</vt:lpstr>
      <vt:lpstr>list4_pm2</vt:lpstr>
      <vt:lpstr>list4_propertyvalues</vt:lpstr>
      <vt:lpstr>list4_security</vt:lpstr>
      <vt:lpstr>list4_serious</vt:lpstr>
      <vt:lpstr>list4_severance</vt:lpstr>
      <vt:lpstr>list4_slight</vt:lpstr>
      <vt:lpstr>list4_soilwater</vt:lpstr>
      <vt:lpstr>list4_transportcosts</vt:lpstr>
      <vt:lpstr>list4_visitsbusinesses</vt:lpstr>
      <vt:lpstr>list4_wellbeing</vt:lpstr>
      <vt:lpstr>MCAimportance</vt:lpstr>
      <vt:lpstr>moneydata_cong_car</vt:lpstr>
      <vt:lpstr>moneydata_damage</vt:lpstr>
      <vt:lpstr>moneydata_delays_bus</vt:lpstr>
      <vt:lpstr>moneydata_delays_car</vt:lpstr>
      <vt:lpstr>moneydata_delays_cycle</vt:lpstr>
      <vt:lpstr>moneydata_delays_gv</vt:lpstr>
      <vt:lpstr>moneydata_delays_peds</vt:lpstr>
      <vt:lpstr>moneydata_design_cycle_lane</vt:lpstr>
      <vt:lpstr>moneydata_design_cycle_sharedbus</vt:lpstr>
      <vt:lpstr>moneydata_design_cycle_track</vt:lpstr>
      <vt:lpstr>moneydata_design_cycle_wide</vt:lpstr>
      <vt:lpstr>moneydata_fatality</vt:lpstr>
      <vt:lpstr>moneydata_no2</vt:lpstr>
      <vt:lpstr>moneydata_noise</vt:lpstr>
      <vt:lpstr>moneydata_noise_england</vt:lpstr>
      <vt:lpstr>moneydata_noise_sweden</vt:lpstr>
      <vt:lpstr>moneydata_park_cycle</vt:lpstr>
      <vt:lpstr>moneydata_pm10</vt:lpstr>
      <vt:lpstr>moneydata_pm2</vt:lpstr>
      <vt:lpstr>moneydata_reliab_car</vt:lpstr>
      <vt:lpstr>moneydata_safety</vt:lpstr>
      <vt:lpstr>moneydata_serious</vt:lpstr>
      <vt:lpstr>moneydata_severance</vt:lpstr>
      <vt:lpstr>moneydata_slight</vt:lpstr>
      <vt:lpstr>moneydata_vot_bus</vt:lpstr>
      <vt:lpstr>moneydata_vot_car</vt:lpstr>
      <vt:lpstr>moneydata_vot_cycle</vt:lpstr>
      <vt:lpstr>moneydata_vot_gv</vt:lpstr>
      <vt:lpstr>moneydata_vot_moto</vt:lpstr>
      <vt:lpstr>moneydata_vot_peds</vt:lpstr>
      <vt:lpstr>name0</vt:lpstr>
      <vt:lpstr>name1</vt:lpstr>
      <vt:lpstr>name2</vt:lpstr>
      <vt:lpstr>name3</vt:lpstr>
      <vt:lpstr>name4</vt:lpstr>
      <vt:lpstr>name5</vt:lpstr>
      <vt:lpstr>p_air</vt:lpstr>
      <vt:lpstr>p_bus_move</vt:lpstr>
      <vt:lpstr>p_bus_stop</vt:lpstr>
      <vt:lpstr>p_buspax_move</vt:lpstr>
      <vt:lpstr>p_car_move</vt:lpstr>
      <vt:lpstr>p_car_park</vt:lpstr>
      <vt:lpstr>p_car_share</vt:lpstr>
      <vt:lpstr>p_car_stop</vt:lpstr>
      <vt:lpstr>p_climate</vt:lpstr>
      <vt:lpstr>p_comsev</vt:lpstr>
      <vt:lpstr>p_congestion</vt:lpstr>
      <vt:lpstr>p_cycle_dock</vt:lpstr>
      <vt:lpstr>p_cycle_dockless</vt:lpstr>
      <vt:lpstr>p_cycle_move</vt:lpstr>
      <vt:lpstr>p_cycle_park</vt:lpstr>
      <vt:lpstr>p_energy</vt:lpstr>
      <vt:lpstr>p_global</vt:lpstr>
      <vt:lpstr>p_green</vt:lpstr>
      <vt:lpstr>p_gv_move</vt:lpstr>
      <vt:lpstr>p_gv_stop</vt:lpstr>
      <vt:lpstr>p_inclusion</vt:lpstr>
      <vt:lpstr>p_interaction</vt:lpstr>
      <vt:lpstr>p_localeconomy</vt:lpstr>
      <vt:lpstr>p_micro</vt:lpstr>
      <vt:lpstr>p_moto</vt:lpstr>
      <vt:lpstr>p_noise</vt:lpstr>
      <vt:lpstr>p_parkload</vt:lpstr>
      <vt:lpstr>p_peds_cafe</vt:lpstr>
      <vt:lpstr>p_peds_cross</vt:lpstr>
      <vt:lpstr>p_peds_sit</vt:lpstr>
      <vt:lpstr>p_peds_stroll</vt:lpstr>
      <vt:lpstr>p_peds_walk</vt:lpstr>
      <vt:lpstr>p_pedsrm_cross</vt:lpstr>
      <vt:lpstr>p_pedsrm_walk</vt:lpstr>
      <vt:lpstr>p_physicalactivity</vt:lpstr>
      <vt:lpstr>p_place</vt:lpstr>
      <vt:lpstr>p_reliability</vt:lpstr>
      <vt:lpstr>p_safety</vt:lpstr>
      <vt:lpstr>p_security</vt:lpstr>
      <vt:lpstr>p_soilwater</vt:lpstr>
      <vt:lpstr>p_transportcosts</vt:lpstr>
      <vt:lpstr>p_traveltime</vt:lpstr>
      <vt:lpstr>p_tripquality</vt:lpstr>
      <vt:lpstr>p_trips</vt:lpstr>
      <vt:lpstr>p_wellbeing</vt:lpstr>
      <vt:lpstr>peds0</vt:lpstr>
      <vt:lpstr>peds1</vt:lpstr>
      <vt:lpstr>peds2</vt:lpstr>
      <vt:lpstr>peds3</vt:lpstr>
      <vt:lpstr>peds4</vt:lpstr>
      <vt:lpstr>peds5</vt:lpstr>
      <vt:lpstr>pop</vt:lpstr>
      <vt:lpstr>pound_to_sek</vt:lpstr>
      <vt:lpstr>ppl_per_household</vt:lpstr>
      <vt:lpstr>priorities_pol</vt:lpstr>
      <vt:lpstr>ron_to_pound</vt:lpstr>
      <vt:lpstr>ron_to_sek</vt:lpstr>
      <vt:lpstr>scores1</vt:lpstr>
      <vt:lpstr>scores2</vt:lpstr>
      <vt:lpstr>scores3</vt:lpstr>
      <vt:lpstr>scores4</vt:lpstr>
      <vt:lpstr>scores5</vt:lpstr>
      <vt:lpstr>scores6</vt:lpstr>
      <vt:lpstr>scores7</vt:lpstr>
      <vt:lpstr>scores8</vt:lpstr>
      <vt:lpstr>segment</vt:lpstr>
      <vt:lpstr>sek_to_pound</vt:lpstr>
      <vt:lpstr>shops</vt:lpstr>
      <vt:lpstr>standard_bus</vt:lpstr>
      <vt:lpstr>standard_busstop</vt:lpstr>
      <vt:lpstr>standard_car</vt:lpstr>
      <vt:lpstr>standard_carparkstop</vt:lpstr>
      <vt:lpstr>standard_cycle</vt:lpstr>
      <vt:lpstr>standard_load</vt:lpstr>
      <vt:lpstr>standard_no2</vt:lpstr>
      <vt:lpstr>standard_noise</vt:lpstr>
      <vt:lpstr>standard_ped</vt:lpstr>
      <vt:lpstr>standard_place</vt:lpstr>
      <vt:lpstr>standard_pm10</vt:lpstr>
      <vt:lpstr>standard_pm2</vt:lpstr>
      <vt:lpstr>years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PauloRui</dc:creator>
  <cp:lastModifiedBy>PauloRui</cp:lastModifiedBy>
  <dcterms:created xsi:type="dcterms:W3CDTF">2019-10-02T13:48:16Z</dcterms:created>
  <dcterms:modified xsi:type="dcterms:W3CDTF">2021-08-12T16:29:11Z</dcterms:modified>
</cp:coreProperties>
</file>