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theme/themeOverride6.xml" ContentType="application/vnd.openxmlformats-officedocument.themeOverride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theme/themeOverride7.xml" ContentType="application/vnd.openxmlformats-officedocument.themeOverrid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theme/themeOverride8.xml" ContentType="application/vnd.openxmlformats-officedocument.themeOverrid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theme/themeOverride9.xml" ContentType="application/vnd.openxmlformats-officedocument.themeOverrid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theme/themeOverride10.xml" ContentType="application/vnd.openxmlformats-officedocument.themeOverrid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theme/themeOverride11.xml" ContentType="application/vnd.openxmlformats-officedocument.themeOverrid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theme/themeOverride12.xml" ContentType="application/vnd.openxmlformats-officedocument.themeOverride+xml"/>
  <Override PartName="/xl/drawings/drawing3.xml" ContentType="application/vnd.openxmlformats-officedocument.drawing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theme/themeOverride13.xml" ContentType="application/vnd.openxmlformats-officedocument.themeOverrid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theme/themeOverride14.xml" ContentType="application/vnd.openxmlformats-officedocument.themeOverrid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theme/themeOverride15.xml" ContentType="application/vnd.openxmlformats-officedocument.themeOverrid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theme/themeOverride16.xml" ContentType="application/vnd.openxmlformats-officedocument.themeOverrid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theme/themeOverride17.xml" ContentType="application/vnd.openxmlformats-officedocument.themeOverrid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theme/themeOverride18.xml" ContentType="application/vnd.openxmlformats-officedocument.themeOverride+xml"/>
  <Override PartName="/xl/drawings/drawing4.xml" ContentType="application/vnd.openxmlformats-officedocument.drawing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theme/themeOverride19.xml" ContentType="application/vnd.openxmlformats-officedocument.themeOverrid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theme/themeOverride20.xml" ContentType="application/vnd.openxmlformats-officedocument.themeOverrid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theme/themeOverride21.xml" ContentType="application/vnd.openxmlformats-officedocument.themeOverrid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theme/themeOverride22.xml" ContentType="application/vnd.openxmlformats-officedocument.themeOverrid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theme/themeOverride23.xml" ContentType="application/vnd.openxmlformats-officedocument.themeOverrid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theme/themeOverride24.xml" ContentType="application/vnd.openxmlformats-officedocument.themeOverride+xml"/>
  <Override PartName="/xl/drawings/drawing5.xml" ContentType="application/vnd.openxmlformats-officedocument.drawing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drawings/drawing6.xml" ContentType="application/vnd.openxmlformats-officedocument.drawing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7.xml" ContentType="application/vnd.openxmlformats-officedocument.drawing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8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drawings/drawing9.xml" ContentType="application/vnd.openxmlformats-officedocument.drawing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10.xml" ContentType="application/vnd.openxmlformats-officedocument.drawing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ieke\Documents\PhD\Experimental research PhD\Sepiolite Precipitation\Precipitation_FT\SI18_SPPFT_Exp\"/>
    </mc:Choice>
  </mc:AlternateContent>
  <xr:revisionPtr revIDLastSave="0" documentId="13_ncr:1_{6A03D500-9886-491E-A126-A3D5A1A4AC44}" xr6:coauthVersionLast="47" xr6:coauthVersionMax="47" xr10:uidLastSave="{00000000-0000-0000-0000-000000000000}"/>
  <bookViews>
    <workbookView xWindow="-21720" yWindow="-555" windowWidth="21840" windowHeight="12765" xr2:uid="{667DB415-F73C-4F08-9C54-322335AC410D}"/>
  </bookViews>
  <sheets>
    <sheet name="P-1" sheetId="1" r:id="rId1"/>
    <sheet name="P-2" sheetId="2" r:id="rId2"/>
    <sheet name="P-3" sheetId="3" r:id="rId3"/>
    <sheet name="P-4" sheetId="4" r:id="rId4"/>
    <sheet name="P-5" sheetId="5" r:id="rId5"/>
    <sheet name="P-6" sheetId="6" r:id="rId6"/>
    <sheet name="P-L" sheetId="7" r:id="rId7"/>
    <sheet name="D-1" sheetId="8" r:id="rId8"/>
    <sheet name="D-2" sheetId="9" r:id="rId9"/>
    <sheet name="D-3" sheetId="10" r:id="rId10"/>
    <sheet name="D-4" sheetId="11" r:id="rId11"/>
    <sheet name="D-5" sheetId="12" r:id="rId12"/>
    <sheet name="D-6" sheetId="13" r:id="rId13"/>
    <sheet name="D-7" sheetId="14" r:id="rId14"/>
    <sheet name="Si-SFAorOES" sheetId="15" r:id="rId15"/>
  </sheets>
  <externalReferences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59" i="14" l="1"/>
  <c r="T59" i="14" s="1"/>
  <c r="M59" i="14"/>
  <c r="P59" i="14" s="1"/>
  <c r="Q59" i="14" s="1"/>
  <c r="C42" i="14" s="1"/>
  <c r="K59" i="14"/>
  <c r="G59" i="14"/>
  <c r="O58" i="14"/>
  <c r="R58" i="14" s="1"/>
  <c r="S58" i="14" s="1"/>
  <c r="M58" i="14"/>
  <c r="T58" i="14" s="1"/>
  <c r="K58" i="14"/>
  <c r="G58" i="14"/>
  <c r="C40" i="14" s="1"/>
  <c r="O57" i="14"/>
  <c r="T57" i="14" s="1"/>
  <c r="M57" i="14"/>
  <c r="K57" i="14"/>
  <c r="G57" i="14"/>
  <c r="D57" i="14"/>
  <c r="D58" i="14" s="1"/>
  <c r="O56" i="14"/>
  <c r="T56" i="14" s="1"/>
  <c r="M56" i="14"/>
  <c r="K56" i="14"/>
  <c r="G56" i="14"/>
  <c r="O55" i="14"/>
  <c r="T55" i="14" s="1"/>
  <c r="M55" i="14"/>
  <c r="K55" i="14"/>
  <c r="G55" i="14"/>
  <c r="O54" i="14"/>
  <c r="R54" i="14" s="1"/>
  <c r="S54" i="14" s="1"/>
  <c r="M54" i="14"/>
  <c r="T54" i="14" s="1"/>
  <c r="K54" i="14"/>
  <c r="G54" i="14"/>
  <c r="O53" i="14"/>
  <c r="R53" i="14" s="1"/>
  <c r="S53" i="14" s="1"/>
  <c r="M53" i="14"/>
  <c r="T53" i="14" s="1"/>
  <c r="K53" i="14"/>
  <c r="G53" i="14"/>
  <c r="O52" i="14"/>
  <c r="T52" i="14" s="1"/>
  <c r="M52" i="14"/>
  <c r="K52" i="14"/>
  <c r="G52" i="14"/>
  <c r="O51" i="14"/>
  <c r="T51" i="14" s="1"/>
  <c r="M51" i="14"/>
  <c r="K51" i="14"/>
  <c r="G51" i="14"/>
  <c r="O50" i="14"/>
  <c r="R50" i="14" s="1"/>
  <c r="S50" i="14" s="1"/>
  <c r="M50" i="14"/>
  <c r="T50" i="14" s="1"/>
  <c r="K50" i="14"/>
  <c r="G50" i="14"/>
  <c r="O49" i="14"/>
  <c r="T49" i="14" s="1"/>
  <c r="M49" i="14"/>
  <c r="K49" i="14"/>
  <c r="G49" i="14"/>
  <c r="D49" i="14"/>
  <c r="D51" i="14" s="1"/>
  <c r="D53" i="14" s="1"/>
  <c r="D55" i="14" s="1"/>
  <c r="O48" i="14"/>
  <c r="T48" i="14" s="1"/>
  <c r="M48" i="14"/>
  <c r="K48" i="14"/>
  <c r="G48" i="14"/>
  <c r="D48" i="14"/>
  <c r="O47" i="14"/>
  <c r="T47" i="14" s="1"/>
  <c r="M47" i="14"/>
  <c r="K47" i="14"/>
  <c r="G47" i="14"/>
  <c r="D47" i="14"/>
  <c r="C39" i="14"/>
  <c r="O29" i="14"/>
  <c r="T29" i="14" s="1"/>
  <c r="M29" i="14"/>
  <c r="K29" i="14"/>
  <c r="G29" i="14"/>
  <c r="O28" i="14"/>
  <c r="T28" i="14" s="1"/>
  <c r="M28" i="14"/>
  <c r="K28" i="14"/>
  <c r="G28" i="14"/>
  <c r="R27" i="14"/>
  <c r="S27" i="14" s="1"/>
  <c r="O27" i="14"/>
  <c r="T27" i="14" s="1"/>
  <c r="M27" i="14"/>
  <c r="P27" i="14" s="1"/>
  <c r="Q27" i="14" s="1"/>
  <c r="K27" i="14"/>
  <c r="G27" i="14"/>
  <c r="D27" i="14"/>
  <c r="D28" i="14" s="1"/>
  <c r="O26" i="14"/>
  <c r="R26" i="14" s="1"/>
  <c r="S26" i="14" s="1"/>
  <c r="M26" i="14"/>
  <c r="T26" i="14" s="1"/>
  <c r="K26" i="14"/>
  <c r="G26" i="14"/>
  <c r="O25" i="14"/>
  <c r="T25" i="14" s="1"/>
  <c r="M25" i="14"/>
  <c r="K25" i="14"/>
  <c r="G25" i="14"/>
  <c r="O24" i="14"/>
  <c r="T24" i="14" s="1"/>
  <c r="M24" i="14"/>
  <c r="K24" i="14"/>
  <c r="G24" i="14"/>
  <c r="O23" i="14"/>
  <c r="T23" i="14" s="1"/>
  <c r="M23" i="14"/>
  <c r="P23" i="14" s="1"/>
  <c r="Q23" i="14" s="1"/>
  <c r="K23" i="14"/>
  <c r="G23" i="14"/>
  <c r="O22" i="14"/>
  <c r="R22" i="14" s="1"/>
  <c r="S22" i="14" s="1"/>
  <c r="M22" i="14"/>
  <c r="T22" i="14" s="1"/>
  <c r="K22" i="14"/>
  <c r="G22" i="14"/>
  <c r="O21" i="14"/>
  <c r="T21" i="14" s="1"/>
  <c r="M21" i="14"/>
  <c r="K21" i="14"/>
  <c r="G21" i="14"/>
  <c r="O20" i="14"/>
  <c r="R20" i="14" s="1"/>
  <c r="S20" i="14" s="1"/>
  <c r="M20" i="14"/>
  <c r="K20" i="14"/>
  <c r="G20" i="14"/>
  <c r="O19" i="14"/>
  <c r="T19" i="14" s="1"/>
  <c r="M19" i="14"/>
  <c r="P19" i="14" s="1"/>
  <c r="Q19" i="14" s="1"/>
  <c r="K19" i="14"/>
  <c r="G19" i="14"/>
  <c r="O18" i="14"/>
  <c r="R18" i="14" s="1"/>
  <c r="S18" i="14" s="1"/>
  <c r="M18" i="14"/>
  <c r="T18" i="14" s="1"/>
  <c r="K18" i="14"/>
  <c r="G18" i="14"/>
  <c r="D18" i="14"/>
  <c r="O17" i="14"/>
  <c r="T17" i="14" s="1"/>
  <c r="M17" i="14"/>
  <c r="K17" i="14"/>
  <c r="G17" i="14"/>
  <c r="D17" i="14"/>
  <c r="D19" i="14" s="1"/>
  <c r="I12" i="14"/>
  <c r="R56" i="14" s="1"/>
  <c r="S56" i="14" s="1"/>
  <c r="G12" i="14"/>
  <c r="P55" i="14" s="1"/>
  <c r="Q55" i="14" s="1"/>
  <c r="E12" i="14"/>
  <c r="C6" i="14"/>
  <c r="P57" i="14" s="1"/>
  <c r="Q57" i="14" s="1"/>
  <c r="C5" i="14"/>
  <c r="D59" i="14" l="1"/>
  <c r="D56" i="14"/>
  <c r="D20" i="14"/>
  <c r="D22" i="14" s="1"/>
  <c r="D24" i="14" s="1"/>
  <c r="D21" i="14"/>
  <c r="D23" i="14" s="1"/>
  <c r="D25" i="14" s="1"/>
  <c r="R17" i="14"/>
  <c r="S17" i="14" s="1"/>
  <c r="T20" i="14"/>
  <c r="R49" i="14"/>
  <c r="S49" i="14" s="1"/>
  <c r="P50" i="14"/>
  <c r="Q50" i="14" s="1"/>
  <c r="P54" i="14"/>
  <c r="Q54" i="14" s="1"/>
  <c r="R57" i="14"/>
  <c r="S57" i="14" s="1"/>
  <c r="P58" i="14"/>
  <c r="Q58" i="14" s="1"/>
  <c r="P28" i="14"/>
  <c r="Q28" i="14" s="1"/>
  <c r="P47" i="14"/>
  <c r="Q47" i="14" s="1"/>
  <c r="P51" i="14"/>
  <c r="Q51" i="14" s="1"/>
  <c r="R19" i="14"/>
  <c r="S19" i="14" s="1"/>
  <c r="P20" i="14"/>
  <c r="Q20" i="14" s="1"/>
  <c r="R23" i="14"/>
  <c r="S23" i="14" s="1"/>
  <c r="P24" i="14"/>
  <c r="Q24" i="14" s="1"/>
  <c r="D50" i="14"/>
  <c r="D52" i="14" s="1"/>
  <c r="D54" i="14" s="1"/>
  <c r="P17" i="14"/>
  <c r="Q17" i="14" s="1"/>
  <c r="P25" i="14"/>
  <c r="Q25" i="14" s="1"/>
  <c r="P48" i="14"/>
  <c r="Q48" i="14" s="1"/>
  <c r="R51" i="14"/>
  <c r="S51" i="14" s="1"/>
  <c r="R55" i="14"/>
  <c r="S55" i="14" s="1"/>
  <c r="P21" i="14"/>
  <c r="Q21" i="14" s="1"/>
  <c r="R24" i="14"/>
  <c r="S24" i="14" s="1"/>
  <c r="R28" i="14"/>
  <c r="S28" i="14" s="1"/>
  <c r="P29" i="14"/>
  <c r="Q29" i="14" s="1"/>
  <c r="C8" i="14" s="1"/>
  <c r="R47" i="14"/>
  <c r="S47" i="14" s="1"/>
  <c r="P52" i="14"/>
  <c r="Q52" i="14" s="1"/>
  <c r="P56" i="14"/>
  <c r="Q56" i="14" s="1"/>
  <c r="R59" i="14"/>
  <c r="S59" i="14" s="1"/>
  <c r="C43" i="14" s="1"/>
  <c r="P18" i="14"/>
  <c r="Q18" i="14" s="1"/>
  <c r="R21" i="14"/>
  <c r="S21" i="14" s="1"/>
  <c r="P22" i="14"/>
  <c r="Q22" i="14" s="1"/>
  <c r="R25" i="14"/>
  <c r="S25" i="14" s="1"/>
  <c r="P26" i="14"/>
  <c r="Q26" i="14" s="1"/>
  <c r="R29" i="14"/>
  <c r="S29" i="14" s="1"/>
  <c r="R48" i="14"/>
  <c r="S48" i="14" s="1"/>
  <c r="P49" i="14"/>
  <c r="Q49" i="14" s="1"/>
  <c r="R52" i="14"/>
  <c r="S52" i="14" s="1"/>
  <c r="P53" i="14"/>
  <c r="Q53" i="14" s="1"/>
  <c r="C9" i="14" l="1"/>
  <c r="D29" i="14"/>
  <c r="D26" i="14"/>
  <c r="E12" i="13"/>
  <c r="G12" i="13"/>
  <c r="I12" i="13"/>
  <c r="T59" i="13"/>
  <c r="O59" i="13"/>
  <c r="M59" i="13"/>
  <c r="K59" i="13"/>
  <c r="G59" i="13"/>
  <c r="O58" i="13"/>
  <c r="T58" i="13" s="1"/>
  <c r="M58" i="13"/>
  <c r="K58" i="13"/>
  <c r="G58" i="13"/>
  <c r="D58" i="13"/>
  <c r="O57" i="13"/>
  <c r="M57" i="13"/>
  <c r="T57" i="13" s="1"/>
  <c r="K57" i="13"/>
  <c r="G57" i="13"/>
  <c r="D57" i="13"/>
  <c r="T56" i="13"/>
  <c r="O56" i="13"/>
  <c r="M56" i="13"/>
  <c r="K56" i="13"/>
  <c r="G56" i="13"/>
  <c r="T55" i="13"/>
  <c r="O55" i="13"/>
  <c r="M55" i="13"/>
  <c r="K55" i="13"/>
  <c r="G55" i="13"/>
  <c r="C40" i="13" s="1"/>
  <c r="O54" i="13"/>
  <c r="T54" i="13" s="1"/>
  <c r="M54" i="13"/>
  <c r="P54" i="13" s="1"/>
  <c r="Q54" i="13" s="1"/>
  <c r="K54" i="13"/>
  <c r="G54" i="13"/>
  <c r="O53" i="13"/>
  <c r="M53" i="13"/>
  <c r="T53" i="13" s="1"/>
  <c r="K53" i="13"/>
  <c r="G53" i="13"/>
  <c r="T52" i="13"/>
  <c r="O52" i="13"/>
  <c r="M52" i="13"/>
  <c r="K52" i="13"/>
  <c r="G52" i="13"/>
  <c r="T51" i="13"/>
  <c r="O51" i="13"/>
  <c r="M51" i="13"/>
  <c r="P51" i="13" s="1"/>
  <c r="Q51" i="13" s="1"/>
  <c r="K51" i="13"/>
  <c r="G51" i="13"/>
  <c r="O50" i="13"/>
  <c r="T50" i="13" s="1"/>
  <c r="M50" i="13"/>
  <c r="K50" i="13"/>
  <c r="G50" i="13"/>
  <c r="O49" i="13"/>
  <c r="M49" i="13"/>
  <c r="T49" i="13" s="1"/>
  <c r="K49" i="13"/>
  <c r="G49" i="13"/>
  <c r="T48" i="13"/>
  <c r="O48" i="13"/>
  <c r="M48" i="13"/>
  <c r="K48" i="13"/>
  <c r="G48" i="13"/>
  <c r="D48" i="13"/>
  <c r="T47" i="13"/>
  <c r="O47" i="13"/>
  <c r="M47" i="13"/>
  <c r="K47" i="13"/>
  <c r="G47" i="13"/>
  <c r="D47" i="13"/>
  <c r="D49" i="13" s="1"/>
  <c r="C39" i="13"/>
  <c r="T29" i="13"/>
  <c r="O29" i="13"/>
  <c r="M29" i="13"/>
  <c r="K29" i="13"/>
  <c r="G29" i="13"/>
  <c r="T28" i="13"/>
  <c r="O28" i="13"/>
  <c r="M28" i="13"/>
  <c r="P28" i="13" s="1"/>
  <c r="Q28" i="13" s="1"/>
  <c r="K28" i="13"/>
  <c r="G28" i="13"/>
  <c r="O27" i="13"/>
  <c r="T27" i="13" s="1"/>
  <c r="M27" i="13"/>
  <c r="K27" i="13"/>
  <c r="G27" i="13"/>
  <c r="D27" i="13"/>
  <c r="D28" i="13" s="1"/>
  <c r="O26" i="13"/>
  <c r="M26" i="13"/>
  <c r="T26" i="13" s="1"/>
  <c r="K26" i="13"/>
  <c r="G26" i="13"/>
  <c r="T25" i="13"/>
  <c r="O25" i="13"/>
  <c r="M25" i="13"/>
  <c r="K25" i="13"/>
  <c r="G25" i="13"/>
  <c r="T24" i="13"/>
  <c r="O24" i="13"/>
  <c r="M24" i="13"/>
  <c r="P24" i="13" s="1"/>
  <c r="Q24" i="13" s="1"/>
  <c r="K24" i="13"/>
  <c r="G24" i="13"/>
  <c r="C6" i="13" s="1"/>
  <c r="O23" i="13"/>
  <c r="T23" i="13" s="1"/>
  <c r="M23" i="13"/>
  <c r="P23" i="13" s="1"/>
  <c r="Q23" i="13" s="1"/>
  <c r="K23" i="13"/>
  <c r="G23" i="13"/>
  <c r="O22" i="13"/>
  <c r="M22" i="13"/>
  <c r="T22" i="13" s="1"/>
  <c r="K22" i="13"/>
  <c r="G22" i="13"/>
  <c r="T21" i="13"/>
  <c r="O21" i="13"/>
  <c r="M21" i="13"/>
  <c r="K21" i="13"/>
  <c r="G21" i="13"/>
  <c r="T20" i="13"/>
  <c r="O20" i="13"/>
  <c r="M20" i="13"/>
  <c r="K20" i="13"/>
  <c r="G20" i="13"/>
  <c r="O19" i="13"/>
  <c r="T19" i="13" s="1"/>
  <c r="M19" i="13"/>
  <c r="P19" i="13" s="1"/>
  <c r="Q19" i="13" s="1"/>
  <c r="K19" i="13"/>
  <c r="G19" i="13"/>
  <c r="O18" i="13"/>
  <c r="M18" i="13"/>
  <c r="T18" i="13" s="1"/>
  <c r="K18" i="13"/>
  <c r="G18" i="13"/>
  <c r="T17" i="13"/>
  <c r="O17" i="13"/>
  <c r="M17" i="13"/>
  <c r="K17" i="13"/>
  <c r="G17" i="13"/>
  <c r="D17" i="13"/>
  <c r="D19" i="13" s="1"/>
  <c r="C5" i="13"/>
  <c r="D51" i="13" l="1"/>
  <c r="D53" i="13" s="1"/>
  <c r="D55" i="13" s="1"/>
  <c r="D50" i="13"/>
  <c r="D52" i="13" s="1"/>
  <c r="D54" i="13" s="1"/>
  <c r="P55" i="13"/>
  <c r="Q55" i="13" s="1"/>
  <c r="P58" i="13"/>
  <c r="Q58" i="13" s="1"/>
  <c r="R48" i="13"/>
  <c r="S48" i="13" s="1"/>
  <c r="P22" i="13"/>
  <c r="Q22" i="13" s="1"/>
  <c r="P48" i="13"/>
  <c r="Q48" i="13" s="1"/>
  <c r="P29" i="13"/>
  <c r="Q29" i="13" s="1"/>
  <c r="C8" i="13" s="1"/>
  <c r="P25" i="13"/>
  <c r="Q25" i="13" s="1"/>
  <c r="P21" i="13"/>
  <c r="Q21" i="13" s="1"/>
  <c r="P18" i="13"/>
  <c r="Q18" i="13" s="1"/>
  <c r="P56" i="13"/>
  <c r="Q56" i="13" s="1"/>
  <c r="P52" i="13"/>
  <c r="Q52" i="13" s="1"/>
  <c r="P17" i="13"/>
  <c r="Q17" i="13" s="1"/>
  <c r="P57" i="13"/>
  <c r="Q57" i="13" s="1"/>
  <c r="P49" i="13"/>
  <c r="Q49" i="13" s="1"/>
  <c r="R17" i="13"/>
  <c r="S17" i="13" s="1"/>
  <c r="P53" i="13"/>
  <c r="Q53" i="13" s="1"/>
  <c r="P26" i="13"/>
  <c r="Q26" i="13" s="1"/>
  <c r="P50" i="13"/>
  <c r="Q50" i="13" s="1"/>
  <c r="D20" i="13"/>
  <c r="D22" i="13" s="1"/>
  <c r="D24" i="13" s="1"/>
  <c r="D21" i="13"/>
  <c r="D23" i="13" s="1"/>
  <c r="D25" i="13" s="1"/>
  <c r="P20" i="13"/>
  <c r="Q20" i="13" s="1"/>
  <c r="P27" i="13"/>
  <c r="Q27" i="13" s="1"/>
  <c r="P47" i="13"/>
  <c r="Q47" i="13" s="1"/>
  <c r="P59" i="13"/>
  <c r="Q59" i="13" s="1"/>
  <c r="C42" i="13" s="1"/>
  <c r="R18" i="13"/>
  <c r="S18" i="13" s="1"/>
  <c r="R22" i="13"/>
  <c r="S22" i="13" s="1"/>
  <c r="R26" i="13"/>
  <c r="S26" i="13" s="1"/>
  <c r="R49" i="13"/>
  <c r="S49" i="13" s="1"/>
  <c r="R53" i="13"/>
  <c r="S53" i="13" s="1"/>
  <c r="R57" i="13"/>
  <c r="S57" i="13" s="1"/>
  <c r="D18" i="13"/>
  <c r="R19" i="13"/>
  <c r="S19" i="13" s="1"/>
  <c r="R23" i="13"/>
  <c r="S23" i="13" s="1"/>
  <c r="R27" i="13"/>
  <c r="S27" i="13" s="1"/>
  <c r="R50" i="13"/>
  <c r="S50" i="13" s="1"/>
  <c r="R54" i="13"/>
  <c r="S54" i="13" s="1"/>
  <c r="R58" i="13"/>
  <c r="S58" i="13" s="1"/>
  <c r="R52" i="13"/>
  <c r="S52" i="13" s="1"/>
  <c r="R20" i="13"/>
  <c r="S20" i="13" s="1"/>
  <c r="R47" i="13"/>
  <c r="S47" i="13" s="1"/>
  <c r="R51" i="13"/>
  <c r="S51" i="13" s="1"/>
  <c r="R55" i="13"/>
  <c r="S55" i="13" s="1"/>
  <c r="R59" i="13"/>
  <c r="S59" i="13" s="1"/>
  <c r="C43" i="13" s="1"/>
  <c r="R21" i="13"/>
  <c r="S21" i="13" s="1"/>
  <c r="R25" i="13"/>
  <c r="S25" i="13" s="1"/>
  <c r="R29" i="13"/>
  <c r="S29" i="13" s="1"/>
  <c r="R56" i="13"/>
  <c r="S56" i="13" s="1"/>
  <c r="R24" i="13"/>
  <c r="S24" i="13" s="1"/>
  <c r="R28" i="13"/>
  <c r="S28" i="13" s="1"/>
  <c r="D59" i="13" l="1"/>
  <c r="D56" i="13"/>
  <c r="D29" i="13"/>
  <c r="D26" i="13"/>
  <c r="C9" i="13"/>
  <c r="O59" i="12"/>
  <c r="T59" i="12" s="1"/>
  <c r="M59" i="12"/>
  <c r="P59" i="12" s="1"/>
  <c r="Q59" i="12" s="1"/>
  <c r="K59" i="12"/>
  <c r="G59" i="12"/>
  <c r="O58" i="12"/>
  <c r="T58" i="12" s="1"/>
  <c r="M58" i="12"/>
  <c r="P58" i="12" s="1"/>
  <c r="Q58" i="12" s="1"/>
  <c r="K58" i="12"/>
  <c r="G58" i="12"/>
  <c r="O57" i="12"/>
  <c r="T57" i="12" s="1"/>
  <c r="M57" i="12"/>
  <c r="K57" i="12"/>
  <c r="G57" i="12"/>
  <c r="O56" i="12"/>
  <c r="M56" i="12"/>
  <c r="P56" i="12" s="1"/>
  <c r="Q56" i="12" s="1"/>
  <c r="K56" i="12"/>
  <c r="G56" i="12"/>
  <c r="O55" i="12"/>
  <c r="T55" i="12" s="1"/>
  <c r="M55" i="12"/>
  <c r="P55" i="12" s="1"/>
  <c r="Q55" i="12" s="1"/>
  <c r="K55" i="12"/>
  <c r="G55" i="12"/>
  <c r="O54" i="12"/>
  <c r="T54" i="12" s="1"/>
  <c r="M54" i="12"/>
  <c r="P54" i="12" s="1"/>
  <c r="Q54" i="12" s="1"/>
  <c r="K54" i="12"/>
  <c r="G54" i="12"/>
  <c r="O53" i="12"/>
  <c r="T53" i="12" s="1"/>
  <c r="M53" i="12"/>
  <c r="K53" i="12"/>
  <c r="G53" i="12"/>
  <c r="O52" i="12"/>
  <c r="M52" i="12"/>
  <c r="P52" i="12" s="1"/>
  <c r="Q52" i="12" s="1"/>
  <c r="K52" i="12"/>
  <c r="G52" i="12"/>
  <c r="O51" i="12"/>
  <c r="T51" i="12" s="1"/>
  <c r="M51" i="12"/>
  <c r="K51" i="12"/>
  <c r="G51" i="12"/>
  <c r="O50" i="12"/>
  <c r="T50" i="12" s="1"/>
  <c r="M50" i="12"/>
  <c r="P50" i="12" s="1"/>
  <c r="Q50" i="12" s="1"/>
  <c r="K50" i="12"/>
  <c r="G50" i="12"/>
  <c r="O49" i="12"/>
  <c r="T49" i="12" s="1"/>
  <c r="M49" i="12"/>
  <c r="K49" i="12"/>
  <c r="G49" i="12"/>
  <c r="O48" i="12"/>
  <c r="T48" i="12" s="1"/>
  <c r="M48" i="12"/>
  <c r="P48" i="12" s="1"/>
  <c r="Q48" i="12" s="1"/>
  <c r="K48" i="12"/>
  <c r="G48" i="12"/>
  <c r="D48" i="12"/>
  <c r="D49" i="12" s="1"/>
  <c r="D50" i="12" s="1"/>
  <c r="O47" i="12"/>
  <c r="T47" i="12" s="1"/>
  <c r="M47" i="12"/>
  <c r="K47" i="12"/>
  <c r="G47" i="12"/>
  <c r="O46" i="12"/>
  <c r="R46" i="12" s="1"/>
  <c r="S46" i="12" s="1"/>
  <c r="M46" i="12"/>
  <c r="T46" i="12" s="1"/>
  <c r="K46" i="12"/>
  <c r="G46" i="12"/>
  <c r="D46" i="12"/>
  <c r="P45" i="12"/>
  <c r="Q45" i="12" s="1"/>
  <c r="O45" i="12"/>
  <c r="T45" i="12" s="1"/>
  <c r="M45" i="12"/>
  <c r="K45" i="12"/>
  <c r="G45" i="12"/>
  <c r="C38" i="12"/>
  <c r="P57" i="12" s="1"/>
  <c r="Q57" i="12" s="1"/>
  <c r="C40" i="12" s="1"/>
  <c r="C37" i="12"/>
  <c r="R45" i="12" s="1"/>
  <c r="S45" i="12" s="1"/>
  <c r="O27" i="12"/>
  <c r="T27" i="12" s="1"/>
  <c r="M27" i="12"/>
  <c r="P27" i="12" s="1"/>
  <c r="Q27" i="12" s="1"/>
  <c r="K27" i="12"/>
  <c r="G27" i="12"/>
  <c r="O26" i="12"/>
  <c r="T26" i="12" s="1"/>
  <c r="M26" i="12"/>
  <c r="P26" i="12" s="1"/>
  <c r="Q26" i="12" s="1"/>
  <c r="K26" i="12"/>
  <c r="G26" i="12"/>
  <c r="O25" i="12"/>
  <c r="T25" i="12" s="1"/>
  <c r="M25" i="12"/>
  <c r="K25" i="12"/>
  <c r="G25" i="12"/>
  <c r="O24" i="12"/>
  <c r="M24" i="12"/>
  <c r="P24" i="12" s="1"/>
  <c r="Q24" i="12" s="1"/>
  <c r="K24" i="12"/>
  <c r="G24" i="12"/>
  <c r="O23" i="12"/>
  <c r="T23" i="12" s="1"/>
  <c r="M23" i="12"/>
  <c r="P23" i="12" s="1"/>
  <c r="Q23" i="12" s="1"/>
  <c r="K23" i="12"/>
  <c r="G23" i="12"/>
  <c r="O22" i="12"/>
  <c r="T22" i="12" s="1"/>
  <c r="M22" i="12"/>
  <c r="P22" i="12" s="1"/>
  <c r="Q22" i="12" s="1"/>
  <c r="K22" i="12"/>
  <c r="G22" i="12"/>
  <c r="O21" i="12"/>
  <c r="T21" i="12" s="1"/>
  <c r="M21" i="12"/>
  <c r="K21" i="12"/>
  <c r="G21" i="12"/>
  <c r="O20" i="12"/>
  <c r="M20" i="12"/>
  <c r="P20" i="12" s="1"/>
  <c r="Q20" i="12" s="1"/>
  <c r="K20" i="12"/>
  <c r="J20" i="12"/>
  <c r="G20" i="12"/>
  <c r="O19" i="12"/>
  <c r="R19" i="12" s="1"/>
  <c r="S19" i="12" s="1"/>
  <c r="M19" i="12"/>
  <c r="P19" i="12" s="1"/>
  <c r="Q19" i="12" s="1"/>
  <c r="K19" i="12"/>
  <c r="G19" i="12"/>
  <c r="O18" i="12"/>
  <c r="T18" i="12" s="1"/>
  <c r="M18" i="12"/>
  <c r="K18" i="12"/>
  <c r="G18" i="12"/>
  <c r="T17" i="12"/>
  <c r="O17" i="12"/>
  <c r="M17" i="12"/>
  <c r="K17" i="12"/>
  <c r="G17" i="12"/>
  <c r="T16" i="12"/>
  <c r="O16" i="12"/>
  <c r="M16" i="12"/>
  <c r="P16" i="12" s="1"/>
  <c r="Q16" i="12" s="1"/>
  <c r="K16" i="12"/>
  <c r="G16" i="12"/>
  <c r="D16" i="12"/>
  <c r="D17" i="12" s="1"/>
  <c r="D18" i="12" s="1"/>
  <c r="O15" i="12"/>
  <c r="R15" i="12" s="1"/>
  <c r="S15" i="12" s="1"/>
  <c r="M15" i="12"/>
  <c r="T15" i="12" s="1"/>
  <c r="K15" i="12"/>
  <c r="G15" i="12"/>
  <c r="O14" i="12"/>
  <c r="T14" i="12" s="1"/>
  <c r="M14" i="12"/>
  <c r="P14" i="12" s="1"/>
  <c r="Q14" i="12" s="1"/>
  <c r="K14" i="12"/>
  <c r="G14" i="12"/>
  <c r="D14" i="12"/>
  <c r="O13" i="12"/>
  <c r="T13" i="12" s="1"/>
  <c r="M13" i="12"/>
  <c r="K13" i="12"/>
  <c r="G13" i="12"/>
  <c r="C6" i="12"/>
  <c r="P25" i="12" s="1"/>
  <c r="Q25" i="12" s="1"/>
  <c r="C8" i="12" s="1"/>
  <c r="C5" i="12"/>
  <c r="D20" i="12" l="1"/>
  <c r="D21" i="12" s="1"/>
  <c r="D22" i="12" s="1"/>
  <c r="D23" i="12" s="1"/>
  <c r="D24" i="12" s="1"/>
  <c r="D25" i="12" s="1"/>
  <c r="D26" i="12" s="1"/>
  <c r="D27" i="12" s="1"/>
  <c r="D19" i="12"/>
  <c r="D51" i="12"/>
  <c r="D52" i="12"/>
  <c r="D53" i="12" s="1"/>
  <c r="D54" i="12" s="1"/>
  <c r="D55" i="12" s="1"/>
  <c r="D56" i="12" s="1"/>
  <c r="D57" i="12" s="1"/>
  <c r="D58" i="12" s="1"/>
  <c r="D59" i="12" s="1"/>
  <c r="R13" i="12"/>
  <c r="S13" i="12" s="1"/>
  <c r="T20" i="12"/>
  <c r="R21" i="12"/>
  <c r="S21" i="12" s="1"/>
  <c r="T24" i="12"/>
  <c r="R25" i="12"/>
  <c r="S25" i="12" s="1"/>
  <c r="R49" i="12"/>
  <c r="S49" i="12" s="1"/>
  <c r="T52" i="12"/>
  <c r="R53" i="12"/>
  <c r="S53" i="12" s="1"/>
  <c r="T56" i="12"/>
  <c r="R57" i="12"/>
  <c r="S57" i="12" s="1"/>
  <c r="R18" i="12"/>
  <c r="S18" i="12" s="1"/>
  <c r="R14" i="12"/>
  <c r="S14" i="12" s="1"/>
  <c r="R22" i="12"/>
  <c r="S22" i="12" s="1"/>
  <c r="R26" i="12"/>
  <c r="S26" i="12" s="1"/>
  <c r="P47" i="12"/>
  <c r="Q47" i="12" s="1"/>
  <c r="R50" i="12"/>
  <c r="S50" i="12" s="1"/>
  <c r="P51" i="12"/>
  <c r="Q51" i="12" s="1"/>
  <c r="R54" i="12"/>
  <c r="S54" i="12" s="1"/>
  <c r="R58" i="12"/>
  <c r="S58" i="12" s="1"/>
  <c r="P15" i="12"/>
  <c r="Q15" i="12" s="1"/>
  <c r="P46" i="12"/>
  <c r="Q46" i="12" s="1"/>
  <c r="R17" i="12"/>
  <c r="S17" i="12" s="1"/>
  <c r="R23" i="12"/>
  <c r="S23" i="12" s="1"/>
  <c r="R27" i="12"/>
  <c r="S27" i="12" s="1"/>
  <c r="R47" i="12"/>
  <c r="S47" i="12" s="1"/>
  <c r="R51" i="12"/>
  <c r="S51" i="12" s="1"/>
  <c r="R55" i="12"/>
  <c r="S55" i="12" s="1"/>
  <c r="R59" i="12"/>
  <c r="S59" i="12" s="1"/>
  <c r="R16" i="12"/>
  <c r="S16" i="12" s="1"/>
  <c r="P17" i="12"/>
  <c r="Q17" i="12" s="1"/>
  <c r="T19" i="12"/>
  <c r="P18" i="12"/>
  <c r="Q18" i="12" s="1"/>
  <c r="P13" i="12"/>
  <c r="Q13" i="12" s="1"/>
  <c r="R20" i="12"/>
  <c r="S20" i="12" s="1"/>
  <c r="P21" i="12"/>
  <c r="Q21" i="12" s="1"/>
  <c r="R24" i="12"/>
  <c r="S24" i="12" s="1"/>
  <c r="R48" i="12"/>
  <c r="S48" i="12" s="1"/>
  <c r="P49" i="12"/>
  <c r="Q49" i="12" s="1"/>
  <c r="R52" i="12"/>
  <c r="S52" i="12" s="1"/>
  <c r="P53" i="12"/>
  <c r="Q53" i="12" s="1"/>
  <c r="R56" i="12"/>
  <c r="S56" i="12" s="1"/>
  <c r="C9" i="12" l="1"/>
  <c r="C41" i="12"/>
  <c r="T58" i="11" l="1"/>
  <c r="O58" i="11"/>
  <c r="M58" i="11"/>
  <c r="K58" i="11"/>
  <c r="G58" i="11"/>
  <c r="O57" i="11"/>
  <c r="M57" i="11"/>
  <c r="T57" i="11" s="1"/>
  <c r="K57" i="11"/>
  <c r="G57" i="11"/>
  <c r="O56" i="11"/>
  <c r="T56" i="11" s="1"/>
  <c r="M56" i="11"/>
  <c r="K56" i="11"/>
  <c r="G56" i="11"/>
  <c r="T55" i="11"/>
  <c r="O55" i="11"/>
  <c r="M55" i="11"/>
  <c r="K55" i="11"/>
  <c r="G55" i="11"/>
  <c r="T54" i="11"/>
  <c r="O54" i="11"/>
  <c r="M54" i="11"/>
  <c r="K54" i="11"/>
  <c r="G54" i="11"/>
  <c r="O53" i="11"/>
  <c r="M53" i="11"/>
  <c r="T53" i="11" s="1"/>
  <c r="K53" i="11"/>
  <c r="G53" i="11"/>
  <c r="C38" i="11" s="1"/>
  <c r="O52" i="11"/>
  <c r="T52" i="11" s="1"/>
  <c r="M52" i="11"/>
  <c r="K52" i="11"/>
  <c r="G52" i="11"/>
  <c r="M51" i="11"/>
  <c r="K51" i="11"/>
  <c r="G51" i="11"/>
  <c r="O50" i="11"/>
  <c r="T50" i="11" s="1"/>
  <c r="M50" i="11"/>
  <c r="K50" i="11"/>
  <c r="G50" i="11"/>
  <c r="T49" i="11"/>
  <c r="O49" i="11"/>
  <c r="M49" i="11"/>
  <c r="P49" i="11" s="1"/>
  <c r="Q49" i="11" s="1"/>
  <c r="K49" i="11"/>
  <c r="G49" i="11"/>
  <c r="O48" i="11"/>
  <c r="T48" i="11" s="1"/>
  <c r="M48" i="11"/>
  <c r="K48" i="11"/>
  <c r="G48" i="11"/>
  <c r="O47" i="11"/>
  <c r="T47" i="11" s="1"/>
  <c r="M47" i="11"/>
  <c r="K47" i="11"/>
  <c r="G47" i="11"/>
  <c r="G46" i="11"/>
  <c r="T45" i="11"/>
  <c r="O45" i="11"/>
  <c r="M45" i="11"/>
  <c r="K45" i="11"/>
  <c r="G45" i="11"/>
  <c r="D45" i="11"/>
  <c r="D46" i="11" s="1"/>
  <c r="C37" i="11"/>
  <c r="O26" i="11"/>
  <c r="T26" i="11" s="1"/>
  <c r="M26" i="11"/>
  <c r="P26" i="11" s="1"/>
  <c r="Q26" i="11" s="1"/>
  <c r="K26" i="11"/>
  <c r="G26" i="11"/>
  <c r="T25" i="11"/>
  <c r="O25" i="11"/>
  <c r="M25" i="11"/>
  <c r="P25" i="11" s="1"/>
  <c r="Q25" i="11" s="1"/>
  <c r="K25" i="11"/>
  <c r="G25" i="11"/>
  <c r="O24" i="11"/>
  <c r="M24" i="11"/>
  <c r="P24" i="11" s="1"/>
  <c r="Q24" i="11" s="1"/>
  <c r="K24" i="11"/>
  <c r="G24" i="11"/>
  <c r="O23" i="11"/>
  <c r="R23" i="11" s="1"/>
  <c r="S23" i="11" s="1"/>
  <c r="M23" i="11"/>
  <c r="T23" i="11" s="1"/>
  <c r="K23" i="11"/>
  <c r="G23" i="11"/>
  <c r="O22" i="11"/>
  <c r="T22" i="11" s="1"/>
  <c r="M22" i="11"/>
  <c r="K22" i="11"/>
  <c r="G22" i="11"/>
  <c r="O21" i="11"/>
  <c r="T21" i="11" s="1"/>
  <c r="M21" i="11"/>
  <c r="K21" i="11"/>
  <c r="G21" i="11"/>
  <c r="T20" i="11"/>
  <c r="O20" i="11"/>
  <c r="M20" i="11"/>
  <c r="P20" i="11" s="1"/>
  <c r="Q20" i="11" s="1"/>
  <c r="K20" i="11"/>
  <c r="G20" i="11"/>
  <c r="T19" i="11"/>
  <c r="S19" i="11"/>
  <c r="M19" i="11"/>
  <c r="K19" i="11"/>
  <c r="G19" i="11"/>
  <c r="O18" i="11"/>
  <c r="R18" i="11" s="1"/>
  <c r="S18" i="11" s="1"/>
  <c r="M18" i="11"/>
  <c r="T18" i="11" s="1"/>
  <c r="K18" i="11"/>
  <c r="G18" i="11"/>
  <c r="O17" i="11"/>
  <c r="T17" i="11" s="1"/>
  <c r="M17" i="11"/>
  <c r="P17" i="11" s="1"/>
  <c r="Q17" i="11" s="1"/>
  <c r="K17" i="11"/>
  <c r="G17" i="11"/>
  <c r="O16" i="11"/>
  <c r="T16" i="11" s="1"/>
  <c r="M16" i="11"/>
  <c r="K16" i="11"/>
  <c r="G16" i="11"/>
  <c r="T15" i="11"/>
  <c r="O15" i="11"/>
  <c r="M15" i="11"/>
  <c r="P15" i="11" s="1"/>
  <c r="Q15" i="11" s="1"/>
  <c r="K15" i="11"/>
  <c r="G15" i="11"/>
  <c r="O14" i="11"/>
  <c r="R14" i="11" s="1"/>
  <c r="S14" i="11" s="1"/>
  <c r="M14" i="11"/>
  <c r="T14" i="11" s="1"/>
  <c r="K14" i="11"/>
  <c r="G14" i="11"/>
  <c r="O13" i="11"/>
  <c r="T13" i="11" s="1"/>
  <c r="M13" i="11"/>
  <c r="P13" i="11" s="1"/>
  <c r="Q13" i="11" s="1"/>
  <c r="K13" i="11"/>
  <c r="G13" i="11"/>
  <c r="D13" i="11"/>
  <c r="D14" i="11" s="1"/>
  <c r="C6" i="11"/>
  <c r="R25" i="11" s="1"/>
  <c r="S25" i="11" s="1"/>
  <c r="C5" i="11"/>
  <c r="D15" i="11" l="1"/>
  <c r="D16" i="11"/>
  <c r="R53" i="11"/>
  <c r="S53" i="11" s="1"/>
  <c r="P45" i="11"/>
  <c r="Q45" i="11" s="1"/>
  <c r="P48" i="11"/>
  <c r="Q48" i="11" s="1"/>
  <c r="P54" i="11"/>
  <c r="Q54" i="11" s="1"/>
  <c r="R57" i="11"/>
  <c r="S57" i="11" s="1"/>
  <c r="R55" i="11"/>
  <c r="S55" i="11" s="1"/>
  <c r="P52" i="11"/>
  <c r="Q52" i="11" s="1"/>
  <c r="P51" i="11"/>
  <c r="Q51" i="11" s="1"/>
  <c r="P50" i="11"/>
  <c r="Q50" i="11" s="1"/>
  <c r="R49" i="11"/>
  <c r="S49" i="11" s="1"/>
  <c r="R45" i="11"/>
  <c r="S45" i="11" s="1"/>
  <c r="R58" i="11"/>
  <c r="S58" i="11" s="1"/>
  <c r="P55" i="11"/>
  <c r="Q55" i="11" s="1"/>
  <c r="R54" i="11"/>
  <c r="S54" i="11" s="1"/>
  <c r="R51" i="11"/>
  <c r="P47" i="11"/>
  <c r="Q47" i="11" s="1"/>
  <c r="P56" i="11"/>
  <c r="Q56" i="11" s="1"/>
  <c r="P58" i="11"/>
  <c r="Q58" i="11" s="1"/>
  <c r="C40" i="11" s="1"/>
  <c r="C8" i="11"/>
  <c r="D48" i="11"/>
  <c r="D47" i="11"/>
  <c r="R21" i="11"/>
  <c r="S21" i="11" s="1"/>
  <c r="R26" i="11"/>
  <c r="S26" i="11" s="1"/>
  <c r="R50" i="11"/>
  <c r="S50" i="11" s="1"/>
  <c r="R13" i="11"/>
  <c r="S13" i="11" s="1"/>
  <c r="P14" i="11"/>
  <c r="Q14" i="11" s="1"/>
  <c r="R17" i="11"/>
  <c r="S17" i="11" s="1"/>
  <c r="P18" i="11"/>
  <c r="Q18" i="11" s="1"/>
  <c r="R22" i="11"/>
  <c r="S22" i="11" s="1"/>
  <c r="P23" i="11"/>
  <c r="Q23" i="11" s="1"/>
  <c r="R52" i="11"/>
  <c r="S52" i="11" s="1"/>
  <c r="P53" i="11"/>
  <c r="Q53" i="11" s="1"/>
  <c r="R56" i="11"/>
  <c r="S56" i="11" s="1"/>
  <c r="C41" i="11" s="1"/>
  <c r="P57" i="11"/>
  <c r="Q57" i="11" s="1"/>
  <c r="R16" i="11"/>
  <c r="S16" i="11" s="1"/>
  <c r="P19" i="11"/>
  <c r="Q19" i="11" s="1"/>
  <c r="P22" i="11"/>
  <c r="Q22" i="11" s="1"/>
  <c r="R47" i="11"/>
  <c r="S47" i="11" s="1"/>
  <c r="R48" i="11"/>
  <c r="S48" i="11" s="1"/>
  <c r="P16" i="11"/>
  <c r="Q16" i="11" s="1"/>
  <c r="P21" i="11"/>
  <c r="Q21" i="11" s="1"/>
  <c r="R15" i="11"/>
  <c r="S15" i="11" s="1"/>
  <c r="R20" i="11"/>
  <c r="S20" i="11" s="1"/>
  <c r="R24" i="11"/>
  <c r="S24" i="11" s="1"/>
  <c r="C9" i="11" s="1"/>
  <c r="D18" i="11" l="1"/>
  <c r="D17" i="11"/>
  <c r="D49" i="11"/>
  <c r="D50" i="11"/>
  <c r="D51" i="11" l="1"/>
  <c r="D55" i="11" s="1"/>
  <c r="D57" i="11" s="1"/>
  <c r="D52" i="11"/>
  <c r="D53" i="11" s="1"/>
  <c r="D54" i="11" s="1"/>
  <c r="D56" i="11" s="1"/>
  <c r="D58" i="11" s="1"/>
  <c r="D20" i="11"/>
  <c r="D21" i="11" s="1"/>
  <c r="D22" i="11" s="1"/>
  <c r="D24" i="11" s="1"/>
  <c r="D26" i="11" s="1"/>
  <c r="D19" i="11"/>
  <c r="D23" i="11" s="1"/>
  <c r="D25" i="11" s="1"/>
  <c r="O61" i="10" l="1"/>
  <c r="T61" i="10" s="1"/>
  <c r="M61" i="10"/>
  <c r="K61" i="10"/>
  <c r="G61" i="10"/>
  <c r="O60" i="10"/>
  <c r="T60" i="10" s="1"/>
  <c r="M60" i="10"/>
  <c r="K60" i="10"/>
  <c r="G60" i="10"/>
  <c r="T59" i="10"/>
  <c r="O59" i="10"/>
  <c r="M59" i="10"/>
  <c r="K59" i="10"/>
  <c r="G59" i="10"/>
  <c r="T58" i="10"/>
  <c r="O58" i="10"/>
  <c r="M58" i="10"/>
  <c r="K58" i="10"/>
  <c r="G58" i="10"/>
  <c r="O57" i="10"/>
  <c r="T57" i="10" s="1"/>
  <c r="M57" i="10"/>
  <c r="K57" i="10"/>
  <c r="G57" i="10"/>
  <c r="O56" i="10"/>
  <c r="T56" i="10" s="1"/>
  <c r="M56" i="10"/>
  <c r="K56" i="10"/>
  <c r="G56" i="10"/>
  <c r="T55" i="10"/>
  <c r="O55" i="10"/>
  <c r="M55" i="10"/>
  <c r="K55" i="10"/>
  <c r="G55" i="10"/>
  <c r="T54" i="10"/>
  <c r="O54" i="10"/>
  <c r="M54" i="10"/>
  <c r="K54" i="10"/>
  <c r="G54" i="10"/>
  <c r="C39" i="10" s="1"/>
  <c r="O53" i="10"/>
  <c r="T53" i="10" s="1"/>
  <c r="M53" i="10"/>
  <c r="K53" i="10"/>
  <c r="G53" i="10"/>
  <c r="O52" i="10"/>
  <c r="T52" i="10" s="1"/>
  <c r="M52" i="10"/>
  <c r="K52" i="10"/>
  <c r="G52" i="10"/>
  <c r="D52" i="10"/>
  <c r="D53" i="10" s="1"/>
  <c r="D54" i="10" s="1"/>
  <c r="T51" i="10"/>
  <c r="O51" i="10"/>
  <c r="M51" i="10"/>
  <c r="K51" i="10"/>
  <c r="G51" i="10"/>
  <c r="T50" i="10"/>
  <c r="O50" i="10"/>
  <c r="M50" i="10"/>
  <c r="K50" i="10"/>
  <c r="G50" i="10"/>
  <c r="D50" i="10"/>
  <c r="D51" i="10" s="1"/>
  <c r="O49" i="10"/>
  <c r="T49" i="10" s="1"/>
  <c r="M49" i="10"/>
  <c r="K49" i="10"/>
  <c r="G49" i="10"/>
  <c r="D49" i="10"/>
  <c r="O48" i="10"/>
  <c r="T48" i="10" s="1"/>
  <c r="M48" i="10"/>
  <c r="K48" i="10"/>
  <c r="G48" i="10"/>
  <c r="D48" i="10"/>
  <c r="T47" i="10"/>
  <c r="O47" i="10"/>
  <c r="M47" i="10"/>
  <c r="K47" i="10"/>
  <c r="G47" i="10"/>
  <c r="D47" i="10"/>
  <c r="T46" i="10"/>
  <c r="O46" i="10"/>
  <c r="M46" i="10"/>
  <c r="K46" i="10"/>
  <c r="G46" i="10"/>
  <c r="C38" i="10"/>
  <c r="T27" i="10"/>
  <c r="O27" i="10"/>
  <c r="M27" i="10"/>
  <c r="K27" i="10"/>
  <c r="G27" i="10"/>
  <c r="O26" i="10"/>
  <c r="T26" i="10" s="1"/>
  <c r="M26" i="10"/>
  <c r="K26" i="10"/>
  <c r="G26" i="10"/>
  <c r="O25" i="10"/>
  <c r="T25" i="10" s="1"/>
  <c r="M25" i="10"/>
  <c r="K25" i="10"/>
  <c r="G25" i="10"/>
  <c r="T24" i="10"/>
  <c r="O24" i="10"/>
  <c r="M24" i="10"/>
  <c r="K24" i="10"/>
  <c r="G24" i="10"/>
  <c r="O23" i="10"/>
  <c r="M23" i="10"/>
  <c r="T23" i="10" s="1"/>
  <c r="K23" i="10"/>
  <c r="G23" i="10"/>
  <c r="O22" i="10"/>
  <c r="T22" i="10" s="1"/>
  <c r="M22" i="10"/>
  <c r="K22" i="10"/>
  <c r="G22" i="10"/>
  <c r="O21" i="10"/>
  <c r="T21" i="10" s="1"/>
  <c r="M21" i="10"/>
  <c r="K21" i="10"/>
  <c r="G21" i="10"/>
  <c r="T20" i="10"/>
  <c r="O20" i="10"/>
  <c r="M20" i="10"/>
  <c r="K20" i="10"/>
  <c r="G20" i="10"/>
  <c r="C6" i="10" s="1"/>
  <c r="M19" i="10"/>
  <c r="K19" i="10"/>
  <c r="G19" i="10"/>
  <c r="T18" i="10"/>
  <c r="O18" i="10"/>
  <c r="M18" i="10"/>
  <c r="K18" i="10"/>
  <c r="G18" i="10"/>
  <c r="O17" i="10"/>
  <c r="T17" i="10" s="1"/>
  <c r="M17" i="10"/>
  <c r="K17" i="10"/>
  <c r="G17" i="10"/>
  <c r="O16" i="10"/>
  <c r="T16" i="10" s="1"/>
  <c r="M16" i="10"/>
  <c r="K16" i="10"/>
  <c r="G16" i="10"/>
  <c r="D16" i="10"/>
  <c r="D17" i="10" s="1"/>
  <c r="D18" i="10" s="1"/>
  <c r="O15" i="10"/>
  <c r="T15" i="10" s="1"/>
  <c r="M15" i="10"/>
  <c r="K15" i="10"/>
  <c r="G15" i="10"/>
  <c r="T14" i="10"/>
  <c r="O14" i="10"/>
  <c r="M14" i="10"/>
  <c r="K14" i="10"/>
  <c r="G14" i="10"/>
  <c r="D14" i="10"/>
  <c r="D15" i="10" s="1"/>
  <c r="O13" i="10"/>
  <c r="T13" i="10" s="1"/>
  <c r="M13" i="10"/>
  <c r="K13" i="10"/>
  <c r="G13" i="10"/>
  <c r="C5" i="10"/>
  <c r="P14" i="10" l="1"/>
  <c r="Q14" i="10" s="1"/>
  <c r="P27" i="10"/>
  <c r="Q27" i="10" s="1"/>
  <c r="P22" i="10"/>
  <c r="Q22" i="10" s="1"/>
  <c r="P16" i="10"/>
  <c r="Q16" i="10" s="1"/>
  <c r="R25" i="10"/>
  <c r="S25" i="10" s="1"/>
  <c r="R57" i="10"/>
  <c r="S57" i="10" s="1"/>
  <c r="R53" i="10"/>
  <c r="S53" i="10" s="1"/>
  <c r="R49" i="10"/>
  <c r="S49" i="10" s="1"/>
  <c r="R23" i="10"/>
  <c r="S23" i="10" s="1"/>
  <c r="R17" i="10"/>
  <c r="S17" i="10" s="1"/>
  <c r="R13" i="10"/>
  <c r="S13" i="10" s="1"/>
  <c r="R47" i="10"/>
  <c r="S47" i="10" s="1"/>
  <c r="R26" i="10"/>
  <c r="S26" i="10" s="1"/>
  <c r="R15" i="10"/>
  <c r="S15" i="10" s="1"/>
  <c r="P60" i="10"/>
  <c r="Q60" i="10" s="1"/>
  <c r="R59" i="10"/>
  <c r="S59" i="10" s="1"/>
  <c r="P56" i="10"/>
  <c r="Q56" i="10" s="1"/>
  <c r="R55" i="10"/>
  <c r="S55" i="10" s="1"/>
  <c r="P52" i="10"/>
  <c r="Q52" i="10" s="1"/>
  <c r="R51" i="10"/>
  <c r="S51" i="10" s="1"/>
  <c r="P48" i="10"/>
  <c r="Q48" i="10" s="1"/>
  <c r="R21" i="10"/>
  <c r="S21" i="10" s="1"/>
  <c r="R14" i="10"/>
  <c r="S14" i="10" s="1"/>
  <c r="R27" i="10"/>
  <c r="S27" i="10" s="1"/>
  <c r="P51" i="10"/>
  <c r="Q51" i="10" s="1"/>
  <c r="P58" i="10"/>
  <c r="Q58" i="10" s="1"/>
  <c r="P18" i="10"/>
  <c r="Q18" i="10" s="1"/>
  <c r="P20" i="10"/>
  <c r="Q20" i="10" s="1"/>
  <c r="R58" i="10"/>
  <c r="S58" i="10" s="1"/>
  <c r="P24" i="10"/>
  <c r="Q24" i="10" s="1"/>
  <c r="P47" i="10"/>
  <c r="Q47" i="10" s="1"/>
  <c r="P13" i="10"/>
  <c r="Q13" i="10" s="1"/>
  <c r="P50" i="10"/>
  <c r="Q50" i="10" s="1"/>
  <c r="P57" i="10"/>
  <c r="Q57" i="10" s="1"/>
  <c r="R20" i="10"/>
  <c r="S20" i="10" s="1"/>
  <c r="R24" i="10"/>
  <c r="S24" i="10" s="1"/>
  <c r="P55" i="10"/>
  <c r="Q55" i="10" s="1"/>
  <c r="P15" i="10"/>
  <c r="Q15" i="10" s="1"/>
  <c r="R50" i="10"/>
  <c r="S50" i="10" s="1"/>
  <c r="P17" i="10"/>
  <c r="Q17" i="10" s="1"/>
  <c r="P46" i="10"/>
  <c r="Q46" i="10" s="1"/>
  <c r="P59" i="10"/>
  <c r="Q59" i="10" s="1"/>
  <c r="R18" i="10"/>
  <c r="S18" i="10" s="1"/>
  <c r="P53" i="10"/>
  <c r="Q53" i="10" s="1"/>
  <c r="P26" i="10"/>
  <c r="Q26" i="10" s="1"/>
  <c r="P19" i="10"/>
  <c r="Q19" i="10" s="1"/>
  <c r="P21" i="10"/>
  <c r="Q21" i="10" s="1"/>
  <c r="R46" i="10"/>
  <c r="S46" i="10" s="1"/>
  <c r="P49" i="10"/>
  <c r="Q49" i="10" s="1"/>
  <c r="P54" i="10"/>
  <c r="Q54" i="10" s="1"/>
  <c r="P61" i="10"/>
  <c r="Q61" i="10" s="1"/>
  <c r="P25" i="10"/>
  <c r="Q25" i="10" s="1"/>
  <c r="R54" i="10"/>
  <c r="S54" i="10" s="1"/>
  <c r="D19" i="10"/>
  <c r="D55" i="10"/>
  <c r="D56" i="10" s="1"/>
  <c r="D58" i="10" s="1"/>
  <c r="D57" i="10" s="1"/>
  <c r="D59" i="10" s="1"/>
  <c r="D60" i="10" s="1"/>
  <c r="D61" i="10" s="1"/>
  <c r="R16" i="10"/>
  <c r="S16" i="10" s="1"/>
  <c r="R22" i="10"/>
  <c r="S22" i="10" s="1"/>
  <c r="P23" i="10"/>
  <c r="Q23" i="10" s="1"/>
  <c r="R48" i="10"/>
  <c r="S48" i="10" s="1"/>
  <c r="R52" i="10"/>
  <c r="S52" i="10" s="1"/>
  <c r="R56" i="10"/>
  <c r="S56" i="10" s="1"/>
  <c r="R60" i="10"/>
  <c r="S60" i="10" s="1"/>
  <c r="R61" i="10"/>
  <c r="S61" i="10" s="1"/>
  <c r="D22" i="10" l="1"/>
  <c r="D23" i="10" s="1"/>
  <c r="D24" i="10" s="1"/>
  <c r="D20" i="10"/>
  <c r="D21" i="10" s="1"/>
  <c r="C8" i="10"/>
  <c r="C9" i="10"/>
  <c r="C42" i="10"/>
  <c r="C41" i="10"/>
  <c r="O60" i="9" l="1"/>
  <c r="T60" i="9" s="1"/>
  <c r="M60" i="9"/>
  <c r="K60" i="9"/>
  <c r="G60" i="9"/>
  <c r="O59" i="9"/>
  <c r="T59" i="9" s="1"/>
  <c r="M59" i="9"/>
  <c r="K59" i="9"/>
  <c r="G59" i="9"/>
  <c r="O58" i="9"/>
  <c r="T58" i="9" s="1"/>
  <c r="M58" i="9"/>
  <c r="K58" i="9"/>
  <c r="G58" i="9"/>
  <c r="O57" i="9"/>
  <c r="M57" i="9"/>
  <c r="K57" i="9"/>
  <c r="G57" i="9"/>
  <c r="O56" i="9"/>
  <c r="T56" i="9" s="1"/>
  <c r="M56" i="9"/>
  <c r="K56" i="9"/>
  <c r="G56" i="9"/>
  <c r="O55" i="9"/>
  <c r="T55" i="9" s="1"/>
  <c r="M55" i="9"/>
  <c r="K55" i="9"/>
  <c r="G55" i="9"/>
  <c r="O54" i="9"/>
  <c r="T54" i="9" s="1"/>
  <c r="M54" i="9"/>
  <c r="K54" i="9"/>
  <c r="G54" i="9"/>
  <c r="O53" i="9"/>
  <c r="M53" i="9"/>
  <c r="K53" i="9"/>
  <c r="G53" i="9"/>
  <c r="D53" i="9"/>
  <c r="D54" i="9" s="1"/>
  <c r="D55" i="9" s="1"/>
  <c r="D56" i="9" s="1"/>
  <c r="O52" i="9"/>
  <c r="T52" i="9" s="1"/>
  <c r="M52" i="9"/>
  <c r="K52" i="9"/>
  <c r="G52" i="9"/>
  <c r="D52" i="9"/>
  <c r="O51" i="9"/>
  <c r="T51" i="9" s="1"/>
  <c r="M51" i="9"/>
  <c r="P51" i="9" s="1"/>
  <c r="Q51" i="9" s="1"/>
  <c r="K51" i="9"/>
  <c r="G51" i="9"/>
  <c r="D51" i="9"/>
  <c r="O50" i="9"/>
  <c r="T50" i="9" s="1"/>
  <c r="M50" i="9"/>
  <c r="K50" i="9"/>
  <c r="G50" i="9"/>
  <c r="D50" i="9"/>
  <c r="O49" i="9"/>
  <c r="M49" i="9"/>
  <c r="K49" i="9"/>
  <c r="G49" i="9"/>
  <c r="O48" i="9"/>
  <c r="T48" i="9" s="1"/>
  <c r="M48" i="9"/>
  <c r="P48" i="9" s="1"/>
  <c r="Q48" i="9" s="1"/>
  <c r="K48" i="9"/>
  <c r="G48" i="9"/>
  <c r="D48" i="9"/>
  <c r="D49" i="9" s="1"/>
  <c r="O47" i="9"/>
  <c r="T47" i="9" s="1"/>
  <c r="M47" i="9"/>
  <c r="K47" i="9"/>
  <c r="G47" i="9"/>
  <c r="O46" i="9"/>
  <c r="M46" i="9"/>
  <c r="T46" i="9" s="1"/>
  <c r="K46" i="9"/>
  <c r="C39" i="9"/>
  <c r="C38" i="9"/>
  <c r="T27" i="9"/>
  <c r="O27" i="9"/>
  <c r="M27" i="9"/>
  <c r="K27" i="9"/>
  <c r="G27" i="9"/>
  <c r="O26" i="9"/>
  <c r="M26" i="9"/>
  <c r="T26" i="9" s="1"/>
  <c r="K26" i="9"/>
  <c r="G26" i="9"/>
  <c r="O25" i="9"/>
  <c r="T25" i="9" s="1"/>
  <c r="M25" i="9"/>
  <c r="K25" i="9"/>
  <c r="G25" i="9"/>
  <c r="O24" i="9"/>
  <c r="M24" i="9"/>
  <c r="T24" i="9" s="1"/>
  <c r="K24" i="9"/>
  <c r="G24" i="9"/>
  <c r="T23" i="9"/>
  <c r="O23" i="9"/>
  <c r="M23" i="9"/>
  <c r="K23" i="9"/>
  <c r="G23" i="9"/>
  <c r="O22" i="9"/>
  <c r="M22" i="9"/>
  <c r="T22" i="9" s="1"/>
  <c r="K22" i="9"/>
  <c r="G22" i="9"/>
  <c r="O21" i="9"/>
  <c r="T21" i="9" s="1"/>
  <c r="M21" i="9"/>
  <c r="K21" i="9"/>
  <c r="G21" i="9"/>
  <c r="T20" i="9"/>
  <c r="O20" i="9"/>
  <c r="M20" i="9"/>
  <c r="K20" i="9"/>
  <c r="G20" i="9"/>
  <c r="C6" i="9" s="1"/>
  <c r="T19" i="9"/>
  <c r="O19" i="9"/>
  <c r="M19" i="9"/>
  <c r="P19" i="9" s="1"/>
  <c r="Q19" i="9" s="1"/>
  <c r="K19" i="9"/>
  <c r="G19" i="9"/>
  <c r="O18" i="9"/>
  <c r="M18" i="9"/>
  <c r="T18" i="9" s="1"/>
  <c r="K18" i="9"/>
  <c r="G18" i="9"/>
  <c r="O17" i="9"/>
  <c r="T17" i="9" s="1"/>
  <c r="M17" i="9"/>
  <c r="P17" i="9" s="1"/>
  <c r="Q17" i="9" s="1"/>
  <c r="K17" i="9"/>
  <c r="G17" i="9"/>
  <c r="D17" i="9"/>
  <c r="D18" i="9" s="1"/>
  <c r="D19" i="9" s="1"/>
  <c r="T16" i="9"/>
  <c r="O16" i="9"/>
  <c r="M16" i="9"/>
  <c r="K16" i="9"/>
  <c r="G16" i="9"/>
  <c r="T15" i="9"/>
  <c r="O15" i="9"/>
  <c r="M15" i="9"/>
  <c r="K15" i="9"/>
  <c r="G15" i="9"/>
  <c r="D15" i="9"/>
  <c r="D16" i="9" s="1"/>
  <c r="O14" i="9"/>
  <c r="M14" i="9"/>
  <c r="P14" i="9" s="1"/>
  <c r="Q14" i="9" s="1"/>
  <c r="K14" i="9"/>
  <c r="G14" i="9"/>
  <c r="O13" i="9"/>
  <c r="T13" i="9" s="1"/>
  <c r="M13" i="9"/>
  <c r="K13" i="9"/>
  <c r="C5" i="9"/>
  <c r="P53" i="9" l="1"/>
  <c r="Q53" i="9" s="1"/>
  <c r="R53" i="9"/>
  <c r="S53" i="9" s="1"/>
  <c r="P58" i="9"/>
  <c r="Q58" i="9" s="1"/>
  <c r="P54" i="9"/>
  <c r="Q54" i="9" s="1"/>
  <c r="P50" i="9"/>
  <c r="Q50" i="9" s="1"/>
  <c r="P16" i="9"/>
  <c r="Q16" i="9" s="1"/>
  <c r="R27" i="9"/>
  <c r="S27" i="9" s="1"/>
  <c r="P24" i="9"/>
  <c r="Q24" i="9" s="1"/>
  <c r="R23" i="9"/>
  <c r="S23" i="9" s="1"/>
  <c r="P20" i="9"/>
  <c r="Q20" i="9" s="1"/>
  <c r="R19" i="9"/>
  <c r="S19" i="9" s="1"/>
  <c r="R26" i="9"/>
  <c r="S26" i="9" s="1"/>
  <c r="R22" i="9"/>
  <c r="S22" i="9" s="1"/>
  <c r="R15" i="9"/>
  <c r="S15" i="9" s="1"/>
  <c r="R18" i="9"/>
  <c r="S18" i="9" s="1"/>
  <c r="R14" i="9"/>
  <c r="S14" i="9" s="1"/>
  <c r="R25" i="9"/>
  <c r="S25" i="9" s="1"/>
  <c r="R21" i="9"/>
  <c r="S21" i="9" s="1"/>
  <c r="R46" i="9"/>
  <c r="S46" i="9" s="1"/>
  <c r="R16" i="9"/>
  <c r="S16" i="9" s="1"/>
  <c r="R24" i="9"/>
  <c r="S24" i="9" s="1"/>
  <c r="C9" i="9" s="1"/>
  <c r="R20" i="9"/>
  <c r="S20" i="9" s="1"/>
  <c r="P27" i="9"/>
  <c r="Q27" i="9" s="1"/>
  <c r="P47" i="9"/>
  <c r="Q47" i="9" s="1"/>
  <c r="P52" i="9"/>
  <c r="Q52" i="9" s="1"/>
  <c r="P21" i="9"/>
  <c r="Q21" i="9" s="1"/>
  <c r="P57" i="9"/>
  <c r="Q57" i="9" s="1"/>
  <c r="P15" i="9"/>
  <c r="Q15" i="9" s="1"/>
  <c r="P49" i="9"/>
  <c r="Q49" i="9" s="1"/>
  <c r="P56" i="9"/>
  <c r="Q56" i="9" s="1"/>
  <c r="P60" i="9"/>
  <c r="Q60" i="9" s="1"/>
  <c r="P23" i="9"/>
  <c r="Q23" i="9" s="1"/>
  <c r="P55" i="9"/>
  <c r="Q55" i="9" s="1"/>
  <c r="P59" i="9"/>
  <c r="Q59" i="9" s="1"/>
  <c r="P25" i="9"/>
  <c r="Q25" i="9" s="1"/>
  <c r="R57" i="9"/>
  <c r="S57" i="9" s="1"/>
  <c r="P13" i="9"/>
  <c r="Q13" i="9" s="1"/>
  <c r="R49" i="9"/>
  <c r="S49" i="9" s="1"/>
  <c r="T14" i="9"/>
  <c r="P46" i="9"/>
  <c r="Q46" i="9" s="1"/>
  <c r="D57" i="9"/>
  <c r="D58" i="9" s="1"/>
  <c r="D59" i="9" s="1"/>
  <c r="D60" i="9" s="1"/>
  <c r="D20" i="9"/>
  <c r="T49" i="9"/>
  <c r="R50" i="9"/>
  <c r="S50" i="9" s="1"/>
  <c r="T53" i="9"/>
  <c r="R54" i="9"/>
  <c r="S54" i="9" s="1"/>
  <c r="T57" i="9"/>
  <c r="R58" i="9"/>
  <c r="S58" i="9" s="1"/>
  <c r="P18" i="9"/>
  <c r="Q18" i="9" s="1"/>
  <c r="P22" i="9"/>
  <c r="Q22" i="9" s="1"/>
  <c r="R17" i="9"/>
  <c r="S17" i="9" s="1"/>
  <c r="P26" i="9"/>
  <c r="Q26" i="9" s="1"/>
  <c r="R13" i="9"/>
  <c r="S13" i="9" s="1"/>
  <c r="R47" i="9"/>
  <c r="S47" i="9" s="1"/>
  <c r="R51" i="9"/>
  <c r="S51" i="9" s="1"/>
  <c r="R55" i="9"/>
  <c r="S55" i="9" s="1"/>
  <c r="R59" i="9"/>
  <c r="S59" i="9" s="1"/>
  <c r="R48" i="9"/>
  <c r="S48" i="9" s="1"/>
  <c r="R52" i="9"/>
  <c r="S52" i="9" s="1"/>
  <c r="R56" i="9"/>
  <c r="S56" i="9" s="1"/>
  <c r="R60" i="9"/>
  <c r="S60" i="9" s="1"/>
  <c r="C42" i="9" l="1"/>
  <c r="C8" i="9"/>
  <c r="D21" i="9"/>
  <c r="D22" i="9" s="1"/>
  <c r="D23" i="9" s="1"/>
  <c r="D24" i="9"/>
  <c r="D25" i="9" s="1"/>
  <c r="D26" i="9" s="1"/>
  <c r="D27" i="9" s="1"/>
  <c r="C41" i="9"/>
  <c r="O60" i="8" l="1"/>
  <c r="T60" i="8" s="1"/>
  <c r="M60" i="8"/>
  <c r="K60" i="8"/>
  <c r="G60" i="8"/>
  <c r="O59" i="8"/>
  <c r="T59" i="8" s="1"/>
  <c r="M59" i="8"/>
  <c r="K59" i="8"/>
  <c r="G59" i="8"/>
  <c r="T58" i="8"/>
  <c r="O58" i="8"/>
  <c r="M58" i="8"/>
  <c r="K58" i="8"/>
  <c r="G58" i="8"/>
  <c r="D58" i="8"/>
  <c r="D59" i="8" s="1"/>
  <c r="D60" i="8" s="1"/>
  <c r="O57" i="8"/>
  <c r="T57" i="8" s="1"/>
  <c r="M57" i="8"/>
  <c r="K57" i="8"/>
  <c r="G57" i="8"/>
  <c r="O56" i="8"/>
  <c r="M56" i="8"/>
  <c r="K56" i="8"/>
  <c r="G56" i="8"/>
  <c r="O55" i="8"/>
  <c r="T55" i="8" s="1"/>
  <c r="M55" i="8"/>
  <c r="K55" i="8"/>
  <c r="G55" i="8"/>
  <c r="T54" i="8"/>
  <c r="O54" i="8"/>
  <c r="M54" i="8"/>
  <c r="K54" i="8"/>
  <c r="G54" i="8"/>
  <c r="C39" i="8" s="1"/>
  <c r="D54" i="8"/>
  <c r="D55" i="8" s="1"/>
  <c r="D56" i="8" s="1"/>
  <c r="D57" i="8" s="1"/>
  <c r="O53" i="8"/>
  <c r="T53" i="8" s="1"/>
  <c r="M53" i="8"/>
  <c r="K53" i="8"/>
  <c r="G53" i="8"/>
  <c r="D53" i="8"/>
  <c r="O52" i="8"/>
  <c r="M52" i="8"/>
  <c r="K52" i="8"/>
  <c r="G52" i="8"/>
  <c r="D52" i="8"/>
  <c r="O51" i="8"/>
  <c r="T51" i="8" s="1"/>
  <c r="M51" i="8"/>
  <c r="K51" i="8"/>
  <c r="G51" i="8"/>
  <c r="T50" i="8"/>
  <c r="O50" i="8"/>
  <c r="M50" i="8"/>
  <c r="K50" i="8"/>
  <c r="G50" i="8"/>
  <c r="D50" i="8"/>
  <c r="D51" i="8" s="1"/>
  <c r="O49" i="8"/>
  <c r="T49" i="8" s="1"/>
  <c r="M49" i="8"/>
  <c r="K49" i="8"/>
  <c r="G49" i="8"/>
  <c r="D49" i="8"/>
  <c r="O48" i="8"/>
  <c r="M48" i="8"/>
  <c r="K48" i="8"/>
  <c r="G48" i="8"/>
  <c r="D48" i="8"/>
  <c r="O47" i="8"/>
  <c r="T47" i="8" s="1"/>
  <c r="M47" i="8"/>
  <c r="K47" i="8"/>
  <c r="G47" i="8"/>
  <c r="D47" i="8"/>
  <c r="T46" i="8"/>
  <c r="O46" i="8"/>
  <c r="M46" i="8"/>
  <c r="K46" i="8"/>
  <c r="C38" i="8"/>
  <c r="O27" i="8"/>
  <c r="T27" i="8" s="1"/>
  <c r="M27" i="8"/>
  <c r="K27" i="8"/>
  <c r="G27" i="8"/>
  <c r="O26" i="8"/>
  <c r="T26" i="8" s="1"/>
  <c r="M26" i="8"/>
  <c r="K26" i="8"/>
  <c r="G26" i="8"/>
  <c r="T25" i="8"/>
  <c r="O25" i="8"/>
  <c r="M25" i="8"/>
  <c r="K25" i="8"/>
  <c r="G25" i="8"/>
  <c r="D25" i="8"/>
  <c r="D26" i="8" s="1"/>
  <c r="D27" i="8" s="1"/>
  <c r="O24" i="8"/>
  <c r="T24" i="8" s="1"/>
  <c r="M24" i="8"/>
  <c r="K24" i="8"/>
  <c r="G24" i="8"/>
  <c r="O23" i="8"/>
  <c r="M23" i="8"/>
  <c r="K23" i="8"/>
  <c r="G23" i="8"/>
  <c r="O22" i="8"/>
  <c r="T22" i="8" s="1"/>
  <c r="M22" i="8"/>
  <c r="K22" i="8"/>
  <c r="G22" i="8"/>
  <c r="T21" i="8"/>
  <c r="O21" i="8"/>
  <c r="M21" i="8"/>
  <c r="K21" i="8"/>
  <c r="G21" i="8"/>
  <c r="C6" i="8" s="1"/>
  <c r="D21" i="8"/>
  <c r="D22" i="8" s="1"/>
  <c r="D23" i="8" s="1"/>
  <c r="D24" i="8" s="1"/>
  <c r="O20" i="8"/>
  <c r="T20" i="8" s="1"/>
  <c r="M20" i="8"/>
  <c r="K20" i="8"/>
  <c r="G20" i="8"/>
  <c r="D20" i="8"/>
  <c r="O19" i="8"/>
  <c r="M19" i="8"/>
  <c r="K19" i="8"/>
  <c r="G19" i="8"/>
  <c r="D19" i="8"/>
  <c r="O18" i="8"/>
  <c r="T18" i="8" s="1"/>
  <c r="M18" i="8"/>
  <c r="P18" i="8" s="1"/>
  <c r="Q18" i="8" s="1"/>
  <c r="K18" i="8"/>
  <c r="G18" i="8"/>
  <c r="T17" i="8"/>
  <c r="O17" i="8"/>
  <c r="M17" i="8"/>
  <c r="K17" i="8"/>
  <c r="G17" i="8"/>
  <c r="D17" i="8"/>
  <c r="D18" i="8" s="1"/>
  <c r="O16" i="8"/>
  <c r="T16" i="8" s="1"/>
  <c r="M16" i="8"/>
  <c r="K16" i="8"/>
  <c r="G16" i="8"/>
  <c r="D16" i="8"/>
  <c r="O15" i="8"/>
  <c r="M15" i="8"/>
  <c r="K15" i="8"/>
  <c r="G15" i="8"/>
  <c r="D15" i="8"/>
  <c r="O14" i="8"/>
  <c r="T14" i="8" s="1"/>
  <c r="M14" i="8"/>
  <c r="K14" i="8"/>
  <c r="G14" i="8"/>
  <c r="D14" i="8"/>
  <c r="T13" i="8"/>
  <c r="O13" i="8"/>
  <c r="M13" i="8"/>
  <c r="K13" i="8"/>
  <c r="C5" i="8"/>
  <c r="P20" i="8" l="1"/>
  <c r="Q20" i="8" s="1"/>
  <c r="R48" i="8"/>
  <c r="S48" i="8" s="1"/>
  <c r="P53" i="8"/>
  <c r="Q53" i="8" s="1"/>
  <c r="P14" i="8"/>
  <c r="Q14" i="8" s="1"/>
  <c r="R17" i="8"/>
  <c r="S17" i="8" s="1"/>
  <c r="P22" i="8"/>
  <c r="Q22" i="8" s="1"/>
  <c r="P24" i="8"/>
  <c r="Q24" i="8" s="1"/>
  <c r="P47" i="8"/>
  <c r="Q47" i="8" s="1"/>
  <c r="P55" i="8"/>
  <c r="Q55" i="8" s="1"/>
  <c r="P57" i="8"/>
  <c r="Q57" i="8" s="1"/>
  <c r="P58" i="8"/>
  <c r="Q58" i="8" s="1"/>
  <c r="P25" i="8"/>
  <c r="Q25" i="8" s="1"/>
  <c r="R20" i="8"/>
  <c r="S20" i="8" s="1"/>
  <c r="R16" i="8"/>
  <c r="S16" i="8" s="1"/>
  <c r="P60" i="8"/>
  <c r="Q60" i="8" s="1"/>
  <c r="C41" i="8" s="1"/>
  <c r="R55" i="8"/>
  <c r="S55" i="8" s="1"/>
  <c r="P52" i="8"/>
  <c r="Q52" i="8" s="1"/>
  <c r="P48" i="8"/>
  <c r="Q48" i="8" s="1"/>
  <c r="P23" i="8"/>
  <c r="Q23" i="8" s="1"/>
  <c r="P15" i="8"/>
  <c r="Q15" i="8" s="1"/>
  <c r="R59" i="8"/>
  <c r="S59" i="8" s="1"/>
  <c r="R51" i="8"/>
  <c r="S51" i="8" s="1"/>
  <c r="R47" i="8"/>
  <c r="S47" i="8" s="1"/>
  <c r="R22" i="8"/>
  <c r="S22" i="8" s="1"/>
  <c r="R18" i="8"/>
  <c r="S18" i="8" s="1"/>
  <c r="P56" i="8"/>
  <c r="Q56" i="8" s="1"/>
  <c r="P27" i="8"/>
  <c r="Q27" i="8" s="1"/>
  <c r="C8" i="8" s="1"/>
  <c r="R26" i="8"/>
  <c r="S26" i="8" s="1"/>
  <c r="P19" i="8"/>
  <c r="Q19" i="8" s="1"/>
  <c r="R14" i="8"/>
  <c r="S14" i="8" s="1"/>
  <c r="R58" i="8"/>
  <c r="S58" i="8" s="1"/>
  <c r="R54" i="8"/>
  <c r="S54" i="8" s="1"/>
  <c r="R50" i="8"/>
  <c r="S50" i="8" s="1"/>
  <c r="R25" i="8"/>
  <c r="S25" i="8" s="1"/>
  <c r="R21" i="8"/>
  <c r="S21" i="8" s="1"/>
  <c r="R57" i="8"/>
  <c r="S57" i="8" s="1"/>
  <c r="P54" i="8"/>
  <c r="Q54" i="8" s="1"/>
  <c r="R53" i="8"/>
  <c r="S53" i="8" s="1"/>
  <c r="P50" i="8"/>
  <c r="Q50" i="8" s="1"/>
  <c r="R49" i="8"/>
  <c r="S49" i="8" s="1"/>
  <c r="P46" i="8"/>
  <c r="Q46" i="8" s="1"/>
  <c r="R24" i="8"/>
  <c r="S24" i="8" s="1"/>
  <c r="P21" i="8"/>
  <c r="Q21" i="8" s="1"/>
  <c r="P17" i="8"/>
  <c r="Q17" i="8" s="1"/>
  <c r="P13" i="8"/>
  <c r="Q13" i="8" s="1"/>
  <c r="P16" i="8"/>
  <c r="Q16" i="8" s="1"/>
  <c r="R19" i="8"/>
  <c r="S19" i="8" s="1"/>
  <c r="P26" i="8"/>
  <c r="Q26" i="8" s="1"/>
  <c r="P49" i="8"/>
  <c r="Q49" i="8" s="1"/>
  <c r="R52" i="8"/>
  <c r="S52" i="8" s="1"/>
  <c r="P59" i="8"/>
  <c r="Q59" i="8" s="1"/>
  <c r="R13" i="8"/>
  <c r="S13" i="8" s="1"/>
  <c r="R46" i="8"/>
  <c r="S46" i="8" s="1"/>
  <c r="P51" i="8"/>
  <c r="Q51" i="8" s="1"/>
  <c r="R23" i="8"/>
  <c r="S23" i="8" s="1"/>
  <c r="R56" i="8"/>
  <c r="S56" i="8" s="1"/>
  <c r="R15" i="8"/>
  <c r="S15" i="8" s="1"/>
  <c r="T15" i="8"/>
  <c r="T19" i="8"/>
  <c r="T23" i="8"/>
  <c r="T48" i="8"/>
  <c r="T52" i="8"/>
  <c r="T56" i="8"/>
  <c r="R27" i="8"/>
  <c r="S27" i="8" s="1"/>
  <c r="R60" i="8"/>
  <c r="S60" i="8" s="1"/>
  <c r="C42" i="8" s="1"/>
  <c r="C9" i="8" l="1"/>
  <c r="O34" i="7" l="1"/>
  <c r="O35" i="7"/>
  <c r="O36" i="7"/>
  <c r="O37" i="7"/>
  <c r="O38" i="7"/>
  <c r="P68" i="7"/>
  <c r="T68" i="7" s="1"/>
  <c r="M68" i="7"/>
  <c r="R68" i="7" s="1"/>
  <c r="G68" i="7"/>
  <c r="P67" i="7"/>
  <c r="T67" i="7" s="1"/>
  <c r="M67" i="7"/>
  <c r="R67" i="7" s="1"/>
  <c r="G67" i="7"/>
  <c r="P66" i="7"/>
  <c r="T66" i="7" s="1"/>
  <c r="M66" i="7"/>
  <c r="R66" i="7" s="1"/>
  <c r="G66" i="7"/>
  <c r="P65" i="7"/>
  <c r="T65" i="7" s="1"/>
  <c r="M65" i="7"/>
  <c r="R65" i="7" s="1"/>
  <c r="G65" i="7"/>
  <c r="P64" i="7"/>
  <c r="T64" i="7" s="1"/>
  <c r="M64" i="7"/>
  <c r="R64" i="7" s="1"/>
  <c r="G64" i="7"/>
  <c r="P63" i="7"/>
  <c r="T63" i="7" s="1"/>
  <c r="M63" i="7"/>
  <c r="R63" i="7" s="1"/>
  <c r="G63" i="7"/>
  <c r="P62" i="7"/>
  <c r="T62" i="7" s="1"/>
  <c r="M62" i="7"/>
  <c r="R62" i="7" s="1"/>
  <c r="G62" i="7"/>
  <c r="P61" i="7"/>
  <c r="T61" i="7" s="1"/>
  <c r="M61" i="7"/>
  <c r="R61" i="7" s="1"/>
  <c r="G61" i="7"/>
  <c r="P60" i="7"/>
  <c r="T60" i="7" s="1"/>
  <c r="M60" i="7"/>
  <c r="R60" i="7" s="1"/>
  <c r="G60" i="7"/>
  <c r="P59" i="7"/>
  <c r="T59" i="7" s="1"/>
  <c r="M59" i="7"/>
  <c r="R59" i="7" s="1"/>
  <c r="G59" i="7"/>
  <c r="P58" i="7"/>
  <c r="T58" i="7" s="1"/>
  <c r="M58" i="7"/>
  <c r="R58" i="7" s="1"/>
  <c r="G58" i="7"/>
  <c r="D58" i="7"/>
  <c r="D59" i="7" s="1"/>
  <c r="D60" i="7" s="1"/>
  <c r="D61" i="7" s="1"/>
  <c r="D62" i="7" s="1"/>
  <c r="D63" i="7" s="1"/>
  <c r="D64" i="7" s="1"/>
  <c r="D65" i="7" s="1"/>
  <c r="D66" i="7" s="1"/>
  <c r="D67" i="7" s="1"/>
  <c r="D68" i="7" s="1"/>
  <c r="P57" i="7"/>
  <c r="T57" i="7" s="1"/>
  <c r="M57" i="7"/>
  <c r="G57" i="7"/>
  <c r="P56" i="7"/>
  <c r="T56" i="7" s="1"/>
  <c r="M56" i="7"/>
  <c r="R56" i="7" s="1"/>
  <c r="G56" i="7"/>
  <c r="C47" i="7"/>
  <c r="M39" i="7"/>
  <c r="Q39" i="7" s="1"/>
  <c r="J39" i="7"/>
  <c r="O39" i="7" s="1"/>
  <c r="M38" i="7"/>
  <c r="Q38" i="7" s="1"/>
  <c r="J38" i="7"/>
  <c r="M37" i="7"/>
  <c r="Q37" i="7" s="1"/>
  <c r="J37" i="7"/>
  <c r="M36" i="7"/>
  <c r="J36" i="7"/>
  <c r="M35" i="7"/>
  <c r="J35" i="7"/>
  <c r="D35" i="7"/>
  <c r="D36" i="7" s="1"/>
  <c r="D37" i="7" s="1"/>
  <c r="D38" i="7" s="1"/>
  <c r="M34" i="7"/>
  <c r="J34" i="7"/>
  <c r="P27" i="7"/>
  <c r="T27" i="7" s="1"/>
  <c r="M27" i="7"/>
  <c r="R27" i="7" s="1"/>
  <c r="G27" i="7"/>
  <c r="P26" i="7"/>
  <c r="T26" i="7" s="1"/>
  <c r="M26" i="7"/>
  <c r="R26" i="7" s="1"/>
  <c r="G26" i="7"/>
  <c r="P25" i="7"/>
  <c r="T25" i="7" s="1"/>
  <c r="M25" i="7"/>
  <c r="R25" i="7" s="1"/>
  <c r="G25" i="7"/>
  <c r="P24" i="7"/>
  <c r="T24" i="7" s="1"/>
  <c r="M24" i="7"/>
  <c r="R24" i="7" s="1"/>
  <c r="G24" i="7"/>
  <c r="P23" i="7"/>
  <c r="T23" i="7" s="1"/>
  <c r="M23" i="7"/>
  <c r="R23" i="7" s="1"/>
  <c r="G23" i="7"/>
  <c r="P22" i="7"/>
  <c r="T22" i="7" s="1"/>
  <c r="M22" i="7"/>
  <c r="R22" i="7" s="1"/>
  <c r="G22" i="7"/>
  <c r="P21" i="7"/>
  <c r="T21" i="7" s="1"/>
  <c r="M21" i="7"/>
  <c r="R21" i="7" s="1"/>
  <c r="G21" i="7"/>
  <c r="P20" i="7"/>
  <c r="T20" i="7" s="1"/>
  <c r="M20" i="7"/>
  <c r="R20" i="7" s="1"/>
  <c r="G20" i="7"/>
  <c r="P19" i="7"/>
  <c r="T19" i="7" s="1"/>
  <c r="M19" i="7"/>
  <c r="R19" i="7" s="1"/>
  <c r="G19" i="7"/>
  <c r="R18" i="7"/>
  <c r="P18" i="7"/>
  <c r="T18" i="7" s="1"/>
  <c r="M18" i="7"/>
  <c r="G18" i="7"/>
  <c r="P17" i="7"/>
  <c r="T17" i="7" s="1"/>
  <c r="M17" i="7"/>
  <c r="R17" i="7" s="1"/>
  <c r="G17" i="7"/>
  <c r="D17" i="7"/>
  <c r="D18" i="7" s="1"/>
  <c r="D19" i="7" s="1"/>
  <c r="D20" i="7" s="1"/>
  <c r="D21" i="7" s="1"/>
  <c r="D22" i="7" s="1"/>
  <c r="D23" i="7" s="1"/>
  <c r="D24" i="7" s="1"/>
  <c r="D25" i="7" s="1"/>
  <c r="D26" i="7" s="1"/>
  <c r="D27" i="7" s="1"/>
  <c r="X33" i="7" s="1"/>
  <c r="P16" i="7"/>
  <c r="M16" i="7"/>
  <c r="R16" i="7" s="1"/>
  <c r="G16" i="7"/>
  <c r="P15" i="7"/>
  <c r="T15" i="7" s="1"/>
  <c r="M15" i="7"/>
  <c r="R15" i="7" s="1"/>
  <c r="G15" i="7"/>
  <c r="C5" i="7"/>
  <c r="C48" i="7" l="1"/>
  <c r="Y21" i="7"/>
  <c r="Y16" i="7"/>
  <c r="Y24" i="7"/>
  <c r="C6" i="7"/>
  <c r="W22" i="7" s="1"/>
  <c r="X22" i="7" s="1"/>
  <c r="Y15" i="7"/>
  <c r="U65" i="7"/>
  <c r="V65" i="7" s="1"/>
  <c r="Y68" i="7"/>
  <c r="U18" i="7"/>
  <c r="V18" i="7" s="1"/>
  <c r="U17" i="7"/>
  <c r="V17" i="7" s="1"/>
  <c r="Y22" i="7"/>
  <c r="Y63" i="7"/>
  <c r="Y17" i="7"/>
  <c r="Y25" i="7"/>
  <c r="Y58" i="7"/>
  <c r="W64" i="7"/>
  <c r="X64" i="7" s="1"/>
  <c r="Y66" i="7"/>
  <c r="Y61" i="7"/>
  <c r="Y20" i="7"/>
  <c r="W21" i="7"/>
  <c r="X21" i="7" s="1"/>
  <c r="Y23" i="7"/>
  <c r="W62" i="7"/>
  <c r="X62" i="7" s="1"/>
  <c r="Y64" i="7"/>
  <c r="Y18" i="7"/>
  <c r="Y26" i="7"/>
  <c r="Y59" i="7"/>
  <c r="Y67" i="7"/>
  <c r="W60" i="7"/>
  <c r="X60" i="7" s="1"/>
  <c r="Y62" i="7"/>
  <c r="Y56" i="7"/>
  <c r="Y57" i="7"/>
  <c r="Y65" i="7"/>
  <c r="Y19" i="7"/>
  <c r="Y27" i="7"/>
  <c r="W58" i="7"/>
  <c r="X58" i="7" s="1"/>
  <c r="Y60" i="7"/>
  <c r="U26" i="7" l="1"/>
  <c r="V26" i="7" s="1"/>
  <c r="U68" i="7"/>
  <c r="V68" i="7" s="1"/>
  <c r="W67" i="7"/>
  <c r="X67" i="7" s="1"/>
  <c r="U23" i="7"/>
  <c r="V23" i="7" s="1"/>
  <c r="W61" i="7"/>
  <c r="X61" i="7" s="1"/>
  <c r="W56" i="7"/>
  <c r="X56" i="7" s="1"/>
  <c r="U22" i="7"/>
  <c r="V22" i="7" s="1"/>
  <c r="W68" i="7"/>
  <c r="X68" i="7" s="1"/>
  <c r="W26" i="7"/>
  <c r="X26" i="7" s="1"/>
  <c r="W59" i="7"/>
  <c r="X59" i="7" s="1"/>
  <c r="U59" i="7"/>
  <c r="V59" i="7" s="1"/>
  <c r="U15" i="7"/>
  <c r="V15" i="7" s="1"/>
  <c r="U62" i="7"/>
  <c r="V62" i="7" s="1"/>
  <c r="W63" i="7"/>
  <c r="X63" i="7" s="1"/>
  <c r="E48" i="7" s="1"/>
  <c r="E49" i="7" s="1"/>
  <c r="W65" i="7"/>
  <c r="X65" i="7" s="1"/>
  <c r="W16" i="7"/>
  <c r="X16" i="7" s="1"/>
  <c r="W18" i="7"/>
  <c r="X18" i="7" s="1"/>
  <c r="W20" i="7"/>
  <c r="X20" i="7" s="1"/>
  <c r="U16" i="7"/>
  <c r="V16" i="7" s="1"/>
  <c r="W66" i="7"/>
  <c r="X66" i="7" s="1"/>
  <c r="U61" i="7"/>
  <c r="V61" i="7" s="1"/>
  <c r="W27" i="7"/>
  <c r="X27" i="7" s="1"/>
  <c r="U19" i="7"/>
  <c r="V19" i="7" s="1"/>
  <c r="U57" i="7"/>
  <c r="U64" i="7"/>
  <c r="V64" i="7" s="1"/>
  <c r="W57" i="7"/>
  <c r="X57" i="7" s="1"/>
  <c r="W23" i="7"/>
  <c r="X23" i="7" s="1"/>
  <c r="W19" i="7"/>
  <c r="X19" i="7" s="1"/>
  <c r="U27" i="7"/>
  <c r="V27" i="7" s="1"/>
  <c r="U60" i="7"/>
  <c r="V60" i="7" s="1"/>
  <c r="W25" i="7"/>
  <c r="X25" i="7" s="1"/>
  <c r="U21" i="7"/>
  <c r="V21" i="7" s="1"/>
  <c r="U24" i="7"/>
  <c r="V24" i="7" s="1"/>
  <c r="U67" i="7"/>
  <c r="V67" i="7" s="1"/>
  <c r="U63" i="7"/>
  <c r="V63" i="7" s="1"/>
  <c r="U58" i="7"/>
  <c r="V58" i="7" s="1"/>
  <c r="W17" i="7"/>
  <c r="X17" i="7" s="1"/>
  <c r="W24" i="7"/>
  <c r="X24" i="7" s="1"/>
  <c r="W15" i="7"/>
  <c r="X15" i="7" s="1"/>
  <c r="U20" i="7"/>
  <c r="V20" i="7" s="1"/>
  <c r="C8" i="7" s="1"/>
  <c r="U25" i="7"/>
  <c r="V25" i="7" s="1"/>
  <c r="U56" i="7"/>
  <c r="V56" i="7" s="1"/>
  <c r="U66" i="7"/>
  <c r="V66" i="7" s="1"/>
  <c r="C50" i="7"/>
  <c r="C9" i="7" l="1"/>
  <c r="C51" i="7"/>
  <c r="W33" i="7"/>
  <c r="Y33" i="7" s="1"/>
  <c r="R75" i="6" l="1"/>
  <c r="P75" i="6"/>
  <c r="T75" i="6" s="1"/>
  <c r="M75" i="6"/>
  <c r="G75" i="6"/>
  <c r="T74" i="6"/>
  <c r="R74" i="6"/>
  <c r="P74" i="6"/>
  <c r="M74" i="6"/>
  <c r="G74" i="6"/>
  <c r="P73" i="6"/>
  <c r="T73" i="6" s="1"/>
  <c r="M73" i="6"/>
  <c r="R73" i="6" s="1"/>
  <c r="G73" i="6"/>
  <c r="T72" i="6"/>
  <c r="R72" i="6"/>
  <c r="P72" i="6"/>
  <c r="M72" i="6"/>
  <c r="G72" i="6"/>
  <c r="T71" i="6"/>
  <c r="R71" i="6"/>
  <c r="P71" i="6"/>
  <c r="M71" i="6"/>
  <c r="G71" i="6"/>
  <c r="P70" i="6"/>
  <c r="T70" i="6" s="1"/>
  <c r="M70" i="6"/>
  <c r="R70" i="6" s="1"/>
  <c r="G70" i="6"/>
  <c r="T69" i="6"/>
  <c r="P69" i="6"/>
  <c r="M69" i="6"/>
  <c r="R69" i="6" s="1"/>
  <c r="G69" i="6"/>
  <c r="T68" i="6"/>
  <c r="P68" i="6"/>
  <c r="M68" i="6"/>
  <c r="R68" i="6" s="1"/>
  <c r="G68" i="6"/>
  <c r="R67" i="6"/>
  <c r="P67" i="6"/>
  <c r="T67" i="6" s="1"/>
  <c r="M67" i="6"/>
  <c r="G67" i="6"/>
  <c r="R66" i="6"/>
  <c r="P66" i="6"/>
  <c r="T66" i="6" s="1"/>
  <c r="M66" i="6"/>
  <c r="G66" i="6"/>
  <c r="P65" i="6"/>
  <c r="T65" i="6" s="1"/>
  <c r="M65" i="6"/>
  <c r="R65" i="6" s="1"/>
  <c r="G65" i="6"/>
  <c r="T64" i="6"/>
  <c r="R64" i="6"/>
  <c r="P64" i="6"/>
  <c r="M64" i="6"/>
  <c r="G64" i="6"/>
  <c r="T63" i="6"/>
  <c r="R63" i="6"/>
  <c r="P63" i="6"/>
  <c r="M63" i="6"/>
  <c r="G63" i="6"/>
  <c r="P62" i="6"/>
  <c r="T62" i="6" s="1"/>
  <c r="M62" i="6"/>
  <c r="R62" i="6" s="1"/>
  <c r="G62" i="6"/>
  <c r="T61" i="6"/>
  <c r="P61" i="6"/>
  <c r="M61" i="6"/>
  <c r="R61" i="6" s="1"/>
  <c r="G61" i="6"/>
  <c r="T60" i="6"/>
  <c r="P60" i="6"/>
  <c r="M60" i="6"/>
  <c r="R60" i="6" s="1"/>
  <c r="G60" i="6"/>
  <c r="D60" i="6"/>
  <c r="R59" i="6"/>
  <c r="P59" i="6"/>
  <c r="T59" i="6" s="1"/>
  <c r="M59" i="6"/>
  <c r="G59" i="6"/>
  <c r="D59" i="6"/>
  <c r="D61" i="6" s="1"/>
  <c r="C51" i="6"/>
  <c r="C50" i="6"/>
  <c r="Q43" i="6"/>
  <c r="M43" i="6"/>
  <c r="J43" i="6"/>
  <c r="O43" i="6" s="1"/>
  <c r="M42" i="6"/>
  <c r="Q42" i="6" s="1"/>
  <c r="J42" i="6"/>
  <c r="O42" i="6" s="1"/>
  <c r="Q41" i="6"/>
  <c r="O41" i="6"/>
  <c r="M41" i="6"/>
  <c r="J41" i="6"/>
  <c r="Q40" i="6"/>
  <c r="O40" i="6"/>
  <c r="M40" i="6"/>
  <c r="J40" i="6"/>
  <c r="M39" i="6"/>
  <c r="Q39" i="6" s="1"/>
  <c r="J39" i="6"/>
  <c r="O39" i="6" s="1"/>
  <c r="D39" i="6"/>
  <c r="D40" i="6" s="1"/>
  <c r="D41" i="6" s="1"/>
  <c r="D42" i="6" s="1"/>
  <c r="D43" i="6" s="1"/>
  <c r="O38" i="6"/>
  <c r="M38" i="6"/>
  <c r="Q38" i="6" s="1"/>
  <c r="J38" i="6"/>
  <c r="T31" i="6"/>
  <c r="R31" i="6"/>
  <c r="P31" i="6"/>
  <c r="M31" i="6"/>
  <c r="G31" i="6"/>
  <c r="P30" i="6"/>
  <c r="T30" i="6" s="1"/>
  <c r="M30" i="6"/>
  <c r="R30" i="6" s="1"/>
  <c r="G30" i="6"/>
  <c r="T29" i="6"/>
  <c r="P29" i="6"/>
  <c r="M29" i="6"/>
  <c r="R29" i="6" s="1"/>
  <c r="G29" i="6"/>
  <c r="T28" i="6"/>
  <c r="P28" i="6"/>
  <c r="M28" i="6"/>
  <c r="R28" i="6" s="1"/>
  <c r="G28" i="6"/>
  <c r="R27" i="6"/>
  <c r="U27" i="6" s="1"/>
  <c r="V27" i="6" s="1"/>
  <c r="P27" i="6"/>
  <c r="T27" i="6" s="1"/>
  <c r="M27" i="6"/>
  <c r="G27" i="6"/>
  <c r="R26" i="6"/>
  <c r="P26" i="6"/>
  <c r="T26" i="6" s="1"/>
  <c r="M26" i="6"/>
  <c r="G26" i="6"/>
  <c r="P25" i="6"/>
  <c r="T25" i="6" s="1"/>
  <c r="M25" i="6"/>
  <c r="R25" i="6" s="1"/>
  <c r="G25" i="6"/>
  <c r="T24" i="6"/>
  <c r="R24" i="6"/>
  <c r="U24" i="6" s="1"/>
  <c r="V24" i="6" s="1"/>
  <c r="P24" i="6"/>
  <c r="M24" i="6"/>
  <c r="G24" i="6"/>
  <c r="T23" i="6"/>
  <c r="R23" i="6"/>
  <c r="P23" i="6"/>
  <c r="M23" i="6"/>
  <c r="G23" i="6"/>
  <c r="P22" i="6"/>
  <c r="T22" i="6" s="1"/>
  <c r="M22" i="6"/>
  <c r="R22" i="6" s="1"/>
  <c r="G22" i="6"/>
  <c r="T21" i="6"/>
  <c r="P21" i="6"/>
  <c r="M21" i="6"/>
  <c r="R21" i="6" s="1"/>
  <c r="U21" i="6" s="1"/>
  <c r="V21" i="6" s="1"/>
  <c r="G21" i="6"/>
  <c r="T20" i="6"/>
  <c r="P20" i="6"/>
  <c r="M20" i="6"/>
  <c r="R20" i="6" s="1"/>
  <c r="G20" i="6"/>
  <c r="C6" i="6" s="1"/>
  <c r="R19" i="6"/>
  <c r="U19" i="6" s="1"/>
  <c r="V19" i="6" s="1"/>
  <c r="P19" i="6"/>
  <c r="T19" i="6" s="1"/>
  <c r="M19" i="6"/>
  <c r="G19" i="6"/>
  <c r="R18" i="6"/>
  <c r="P18" i="6"/>
  <c r="T18" i="6" s="1"/>
  <c r="M18" i="6"/>
  <c r="G18" i="6"/>
  <c r="P17" i="6"/>
  <c r="T17" i="6" s="1"/>
  <c r="M17" i="6"/>
  <c r="R17" i="6" s="1"/>
  <c r="G17" i="6"/>
  <c r="T16" i="6"/>
  <c r="R16" i="6"/>
  <c r="U16" i="6" s="1"/>
  <c r="V16" i="6" s="1"/>
  <c r="P16" i="6"/>
  <c r="M16" i="6"/>
  <c r="G16" i="6"/>
  <c r="T15" i="6"/>
  <c r="R15" i="6"/>
  <c r="P15" i="6"/>
  <c r="M15" i="6"/>
  <c r="G15" i="6"/>
  <c r="D15" i="6"/>
  <c r="D17" i="6" s="1"/>
  <c r="C5" i="6"/>
  <c r="U29" i="6" l="1"/>
  <c r="V29" i="6" s="1"/>
  <c r="C8" i="6" s="1"/>
  <c r="D62" i="6"/>
  <c r="D64" i="6"/>
  <c r="D65" i="6" s="1"/>
  <c r="D66" i="6" s="1"/>
  <c r="D67" i="6" s="1"/>
  <c r="D63" i="6"/>
  <c r="U15" i="6"/>
  <c r="V15" i="6" s="1"/>
  <c r="U17" i="6"/>
  <c r="V17" i="6" s="1"/>
  <c r="U23" i="6"/>
  <c r="V23" i="6" s="1"/>
  <c r="U25" i="6"/>
  <c r="V25" i="6" s="1"/>
  <c r="U31" i="6"/>
  <c r="V31" i="6" s="1"/>
  <c r="U64" i="6"/>
  <c r="V64" i="6" s="1"/>
  <c r="U72" i="6"/>
  <c r="V72" i="6" s="1"/>
  <c r="U66" i="6"/>
  <c r="V66" i="6" s="1"/>
  <c r="U18" i="6"/>
  <c r="V18" i="6" s="1"/>
  <c r="U74" i="6"/>
  <c r="V74" i="6" s="1"/>
  <c r="U26" i="6"/>
  <c r="V26" i="6" s="1"/>
  <c r="U61" i="6"/>
  <c r="V61" i="6" s="1"/>
  <c r="U69" i="6"/>
  <c r="V69" i="6" s="1"/>
  <c r="U22" i="6"/>
  <c r="V22" i="6" s="1"/>
  <c r="U28" i="6"/>
  <c r="V28" i="6" s="1"/>
  <c r="Y75" i="6"/>
  <c r="W73" i="6"/>
  <c r="X73" i="6" s="1"/>
  <c r="Y67" i="6"/>
  <c r="W65" i="6"/>
  <c r="X65" i="6" s="1"/>
  <c r="Y59" i="6"/>
  <c r="Y27" i="6"/>
  <c r="W25" i="6"/>
  <c r="X25" i="6" s="1"/>
  <c r="Y19" i="6"/>
  <c r="W17" i="6"/>
  <c r="X17" i="6" s="1"/>
  <c r="Y70" i="6"/>
  <c r="Y62" i="6"/>
  <c r="W28" i="6"/>
  <c r="Y72" i="6"/>
  <c r="W70" i="6"/>
  <c r="X70" i="6" s="1"/>
  <c r="Y64" i="6"/>
  <c r="W62" i="6"/>
  <c r="X62" i="6" s="1"/>
  <c r="W30" i="6"/>
  <c r="X30" i="6" s="1"/>
  <c r="Y24" i="6"/>
  <c r="W22" i="6"/>
  <c r="X22" i="6" s="1"/>
  <c r="Y16" i="6"/>
  <c r="W18" i="6"/>
  <c r="X18" i="6" s="1"/>
  <c r="W75" i="6"/>
  <c r="X75" i="6" s="1"/>
  <c r="Y69" i="6"/>
  <c r="W67" i="6"/>
  <c r="X67" i="6" s="1"/>
  <c r="Y61" i="6"/>
  <c r="W59" i="6"/>
  <c r="X59" i="6" s="1"/>
  <c r="Y29" i="6"/>
  <c r="W27" i="6"/>
  <c r="X27" i="6" s="1"/>
  <c r="Y21" i="6"/>
  <c r="W19" i="6"/>
  <c r="X19" i="6" s="1"/>
  <c r="W60" i="6"/>
  <c r="X60" i="6" s="1"/>
  <c r="Y74" i="6"/>
  <c r="W72" i="6"/>
  <c r="X72" i="6" s="1"/>
  <c r="Y66" i="6"/>
  <c r="W64" i="6"/>
  <c r="X64" i="6" s="1"/>
  <c r="Y26" i="6"/>
  <c r="W24" i="6"/>
  <c r="X24" i="6" s="1"/>
  <c r="Y18" i="6"/>
  <c r="W16" i="6"/>
  <c r="X16" i="6" s="1"/>
  <c r="W74" i="6"/>
  <c r="X74" i="6" s="1"/>
  <c r="Y20" i="6"/>
  <c r="W23" i="6"/>
  <c r="X23" i="6" s="1"/>
  <c r="Y17" i="6"/>
  <c r="W68" i="6"/>
  <c r="X68" i="6" s="1"/>
  <c r="C54" i="6" s="1"/>
  <c r="Y22" i="6"/>
  <c r="Y71" i="6"/>
  <c r="W69" i="6"/>
  <c r="X69" i="6" s="1"/>
  <c r="Y63" i="6"/>
  <c r="W61" i="6"/>
  <c r="X61" i="6" s="1"/>
  <c r="Y31" i="6"/>
  <c r="W29" i="6"/>
  <c r="X29" i="6" s="1"/>
  <c r="Y23" i="6"/>
  <c r="W21" i="6"/>
  <c r="X21" i="6" s="1"/>
  <c r="Y15" i="6"/>
  <c r="Y68" i="6"/>
  <c r="W66" i="6"/>
  <c r="X66" i="6" s="1"/>
  <c r="Y60" i="6"/>
  <c r="Y28" i="6"/>
  <c r="W26" i="6"/>
  <c r="X26" i="6" s="1"/>
  <c r="Y25" i="6"/>
  <c r="W15" i="6"/>
  <c r="X15" i="6" s="1"/>
  <c r="Y30" i="6"/>
  <c r="Y73" i="6"/>
  <c r="W71" i="6"/>
  <c r="X71" i="6" s="1"/>
  <c r="Y65" i="6"/>
  <c r="W63" i="6"/>
  <c r="X63" i="6" s="1"/>
  <c r="W31" i="6"/>
  <c r="X31" i="6" s="1"/>
  <c r="W20" i="6"/>
  <c r="X20" i="6" s="1"/>
  <c r="U20" i="6"/>
  <c r="V20" i="6" s="1"/>
  <c r="D19" i="6"/>
  <c r="D18" i="6"/>
  <c r="D20" i="6"/>
  <c r="D21" i="6" s="1"/>
  <c r="D22" i="6" s="1"/>
  <c r="D23" i="6" s="1"/>
  <c r="U71" i="6"/>
  <c r="V71" i="6" s="1"/>
  <c r="U59" i="6"/>
  <c r="V59" i="6" s="1"/>
  <c r="U67" i="6"/>
  <c r="V67" i="6" s="1"/>
  <c r="U75" i="6"/>
  <c r="V75" i="6" s="1"/>
  <c r="D16" i="6"/>
  <c r="U30" i="6"/>
  <c r="V30" i="6" s="1"/>
  <c r="U62" i="6"/>
  <c r="V62" i="6" s="1"/>
  <c r="U70" i="6"/>
  <c r="V70" i="6" s="1"/>
  <c r="U65" i="6"/>
  <c r="V65" i="6" s="1"/>
  <c r="U73" i="6"/>
  <c r="V73" i="6" s="1"/>
  <c r="U60" i="6"/>
  <c r="V60" i="6" s="1"/>
  <c r="U68" i="6"/>
  <c r="V68" i="6" s="1"/>
  <c r="U63" i="6"/>
  <c r="V63" i="6" s="1"/>
  <c r="C9" i="6" l="1"/>
  <c r="C53" i="6"/>
  <c r="D69" i="6"/>
  <c r="D68" i="6"/>
  <c r="D70" i="6" s="1"/>
  <c r="D71" i="6" s="1"/>
  <c r="D72" i="6" s="1"/>
  <c r="X28" i="6"/>
  <c r="D25" i="6"/>
  <c r="D24" i="6"/>
  <c r="D26" i="6" s="1"/>
  <c r="D27" i="6" s="1"/>
  <c r="D28" i="6" s="1"/>
  <c r="D30" i="6" l="1"/>
  <c r="D31" i="6" s="1"/>
  <c r="D29" i="6"/>
  <c r="D73" i="6"/>
  <c r="D74" i="6"/>
  <c r="D75" i="6" s="1"/>
  <c r="R64" i="5" l="1"/>
  <c r="P64" i="5"/>
  <c r="T64" i="5" s="1"/>
  <c r="M64" i="5"/>
  <c r="G64" i="5"/>
  <c r="T63" i="5"/>
  <c r="R63" i="5"/>
  <c r="P63" i="5"/>
  <c r="M63" i="5"/>
  <c r="G63" i="5"/>
  <c r="T62" i="5"/>
  <c r="P62" i="5"/>
  <c r="M62" i="5"/>
  <c r="R62" i="5" s="1"/>
  <c r="G62" i="5"/>
  <c r="T61" i="5"/>
  <c r="R61" i="5"/>
  <c r="P61" i="5"/>
  <c r="M61" i="5"/>
  <c r="G61" i="5"/>
  <c r="T60" i="5"/>
  <c r="R60" i="5"/>
  <c r="P60" i="5"/>
  <c r="M60" i="5"/>
  <c r="G60" i="5"/>
  <c r="P59" i="5"/>
  <c r="T59" i="5" s="1"/>
  <c r="M59" i="5"/>
  <c r="R59" i="5" s="1"/>
  <c r="G59" i="5"/>
  <c r="C44" i="5" s="1"/>
  <c r="T58" i="5"/>
  <c r="R58" i="5"/>
  <c r="P58" i="5"/>
  <c r="M58" i="5"/>
  <c r="G58" i="5"/>
  <c r="T57" i="5"/>
  <c r="R57" i="5"/>
  <c r="P57" i="5"/>
  <c r="M57" i="5"/>
  <c r="G57" i="5"/>
  <c r="D57" i="5"/>
  <c r="D58" i="5" s="1"/>
  <c r="P56" i="5"/>
  <c r="T56" i="5" s="1"/>
  <c r="M56" i="5"/>
  <c r="R56" i="5" s="1"/>
  <c r="G56" i="5"/>
  <c r="T55" i="5"/>
  <c r="P55" i="5"/>
  <c r="M55" i="5"/>
  <c r="R55" i="5" s="1"/>
  <c r="G55" i="5"/>
  <c r="T54" i="5"/>
  <c r="P54" i="5"/>
  <c r="M54" i="5"/>
  <c r="R54" i="5" s="1"/>
  <c r="G54" i="5"/>
  <c r="D54" i="5"/>
  <c r="D55" i="5" s="1"/>
  <c r="D56" i="5" s="1"/>
  <c r="R53" i="5"/>
  <c r="P53" i="5"/>
  <c r="T53" i="5" s="1"/>
  <c r="M53" i="5"/>
  <c r="G53" i="5"/>
  <c r="R52" i="5"/>
  <c r="P52" i="5"/>
  <c r="T52" i="5" s="1"/>
  <c r="M52" i="5"/>
  <c r="G52" i="5"/>
  <c r="D52" i="5"/>
  <c r="D53" i="5" s="1"/>
  <c r="C43" i="5"/>
  <c r="Q35" i="5"/>
  <c r="M35" i="5"/>
  <c r="J35" i="5"/>
  <c r="O35" i="5" s="1"/>
  <c r="Q34" i="5"/>
  <c r="O34" i="5"/>
  <c r="M34" i="5"/>
  <c r="J34" i="5"/>
  <c r="M33" i="5"/>
  <c r="Q33" i="5" s="1"/>
  <c r="J33" i="5"/>
  <c r="O33" i="5" s="1"/>
  <c r="Q32" i="5"/>
  <c r="O32" i="5"/>
  <c r="M32" i="5"/>
  <c r="J32" i="5"/>
  <c r="D32" i="5"/>
  <c r="D33" i="5" s="1"/>
  <c r="D34" i="5" s="1"/>
  <c r="D35" i="5" s="1"/>
  <c r="Q31" i="5"/>
  <c r="Y64" i="5" s="1"/>
  <c r="O31" i="5"/>
  <c r="U60" i="5" s="1"/>
  <c r="V60" i="5" s="1"/>
  <c r="M31" i="5"/>
  <c r="J31" i="5"/>
  <c r="T25" i="5"/>
  <c r="R25" i="5"/>
  <c r="P25" i="5"/>
  <c r="M25" i="5"/>
  <c r="G25" i="5"/>
  <c r="T24" i="5"/>
  <c r="P24" i="5"/>
  <c r="M24" i="5"/>
  <c r="R24" i="5" s="1"/>
  <c r="G24" i="5"/>
  <c r="R23" i="5"/>
  <c r="P23" i="5"/>
  <c r="T23" i="5" s="1"/>
  <c r="M23" i="5"/>
  <c r="G23" i="5"/>
  <c r="R22" i="5"/>
  <c r="P22" i="5"/>
  <c r="T22" i="5" s="1"/>
  <c r="M22" i="5"/>
  <c r="G22" i="5"/>
  <c r="P21" i="5"/>
  <c r="T21" i="5" s="1"/>
  <c r="Y21" i="5" s="1"/>
  <c r="M21" i="5"/>
  <c r="R21" i="5" s="1"/>
  <c r="G21" i="5"/>
  <c r="T20" i="5"/>
  <c r="R20" i="5"/>
  <c r="P20" i="5"/>
  <c r="M20" i="5"/>
  <c r="G20" i="5"/>
  <c r="T19" i="5"/>
  <c r="R19" i="5"/>
  <c r="P19" i="5"/>
  <c r="M19" i="5"/>
  <c r="G19" i="5"/>
  <c r="D19" i="5"/>
  <c r="P18" i="5"/>
  <c r="T18" i="5" s="1"/>
  <c r="M18" i="5"/>
  <c r="R18" i="5" s="1"/>
  <c r="G18" i="5"/>
  <c r="D18" i="5"/>
  <c r="T17" i="5"/>
  <c r="P17" i="5"/>
  <c r="M17" i="5"/>
  <c r="R17" i="5" s="1"/>
  <c r="G17" i="5"/>
  <c r="D17" i="5"/>
  <c r="D20" i="5" s="1"/>
  <c r="D21" i="5" s="1"/>
  <c r="T16" i="5"/>
  <c r="P16" i="5"/>
  <c r="M16" i="5"/>
  <c r="R16" i="5" s="1"/>
  <c r="G16" i="5"/>
  <c r="D16" i="5"/>
  <c r="R15" i="5"/>
  <c r="P15" i="5"/>
  <c r="T15" i="5" s="1"/>
  <c r="M15" i="5"/>
  <c r="G15" i="5"/>
  <c r="D15" i="5"/>
  <c r="C6" i="5"/>
  <c r="W19" i="5" s="1"/>
  <c r="X19" i="5" s="1"/>
  <c r="C5" i="5"/>
  <c r="D23" i="5" l="1"/>
  <c r="D22" i="5"/>
  <c r="Y18" i="5"/>
  <c r="D59" i="5"/>
  <c r="D60" i="5"/>
  <c r="W16" i="5"/>
  <c r="X16" i="5" s="1"/>
  <c r="U17" i="5"/>
  <c r="V17" i="5" s="1"/>
  <c r="U25" i="5"/>
  <c r="V25" i="5" s="1"/>
  <c r="Y59" i="5"/>
  <c r="U63" i="5"/>
  <c r="V63" i="5" s="1"/>
  <c r="U20" i="5"/>
  <c r="V20" i="5" s="1"/>
  <c r="Y54" i="5"/>
  <c r="W60" i="5"/>
  <c r="X60" i="5" s="1"/>
  <c r="Y62" i="5"/>
  <c r="U15" i="5"/>
  <c r="V15" i="5" s="1"/>
  <c r="W17" i="5"/>
  <c r="X17" i="5" s="1"/>
  <c r="Y19" i="5"/>
  <c r="U23" i="5"/>
  <c r="V23" i="5" s="1"/>
  <c r="C8" i="5" s="1"/>
  <c r="W25" i="5"/>
  <c r="X25" i="5" s="1"/>
  <c r="U53" i="5"/>
  <c r="V53" i="5" s="1"/>
  <c r="W55" i="5"/>
  <c r="X55" i="5" s="1"/>
  <c r="Y57" i="5"/>
  <c r="U61" i="5"/>
  <c r="V61" i="5" s="1"/>
  <c r="W63" i="5"/>
  <c r="X63" i="5" s="1"/>
  <c r="U22" i="5"/>
  <c r="V22" i="5" s="1"/>
  <c r="Y16" i="5"/>
  <c r="W22" i="5"/>
  <c r="X22" i="5" s="1"/>
  <c r="Y24" i="5"/>
  <c r="U58" i="5"/>
  <c r="V58" i="5" s="1"/>
  <c r="U18" i="5"/>
  <c r="V18" i="5" s="1"/>
  <c r="W20" i="5"/>
  <c r="X20" i="5" s="1"/>
  <c r="Y22" i="5"/>
  <c r="Y52" i="5"/>
  <c r="U56" i="5"/>
  <c r="V56" i="5" s="1"/>
  <c r="W58" i="5"/>
  <c r="X58" i="5" s="1"/>
  <c r="Y60" i="5"/>
  <c r="U64" i="5"/>
  <c r="V64" i="5" s="1"/>
  <c r="W24" i="5"/>
  <c r="X24" i="5" s="1"/>
  <c r="W52" i="5"/>
  <c r="X52" i="5" s="1"/>
  <c r="W15" i="5"/>
  <c r="X15" i="5" s="1"/>
  <c r="Y17" i="5"/>
  <c r="U21" i="5"/>
  <c r="V21" i="5" s="1"/>
  <c r="W23" i="5"/>
  <c r="X23" i="5" s="1"/>
  <c r="C9" i="5" s="1"/>
  <c r="Y25" i="5"/>
  <c r="W53" i="5"/>
  <c r="X53" i="5" s="1"/>
  <c r="Y55" i="5"/>
  <c r="U59" i="5"/>
  <c r="V59" i="5" s="1"/>
  <c r="W61" i="5"/>
  <c r="X61" i="5" s="1"/>
  <c r="Y63" i="5"/>
  <c r="U55" i="5"/>
  <c r="V55" i="5" s="1"/>
  <c r="U16" i="5"/>
  <c r="V16" i="5" s="1"/>
  <c r="U54" i="5"/>
  <c r="V54" i="5" s="1"/>
  <c r="Y58" i="5"/>
  <c r="U62" i="5"/>
  <c r="V62" i="5" s="1"/>
  <c r="W64" i="5"/>
  <c r="X64" i="5" s="1"/>
  <c r="W57" i="5"/>
  <c r="X57" i="5" s="1"/>
  <c r="W18" i="5"/>
  <c r="X18" i="5" s="1"/>
  <c r="Y20" i="5"/>
  <c r="U24" i="5"/>
  <c r="V24" i="5" s="1"/>
  <c r="W56" i="5"/>
  <c r="X56" i="5" s="1"/>
  <c r="Y15" i="5"/>
  <c r="U19" i="5"/>
  <c r="V19" i="5" s="1"/>
  <c r="W21" i="5"/>
  <c r="X21" i="5" s="1"/>
  <c r="Y23" i="5"/>
  <c r="Y53" i="5"/>
  <c r="U57" i="5"/>
  <c r="V57" i="5" s="1"/>
  <c r="W59" i="5"/>
  <c r="X59" i="5" s="1"/>
  <c r="Y61" i="5"/>
  <c r="U52" i="5"/>
  <c r="V52" i="5" s="1"/>
  <c r="W54" i="5"/>
  <c r="X54" i="5" s="1"/>
  <c r="Y56" i="5"/>
  <c r="W62" i="5"/>
  <c r="X62" i="5" s="1"/>
  <c r="D24" i="5" l="1"/>
  <c r="D25" i="5"/>
  <c r="C47" i="5"/>
  <c r="C46" i="5"/>
  <c r="D62" i="5"/>
  <c r="D64" i="5" s="1"/>
  <c r="D61" i="5"/>
  <c r="D63" i="5" s="1"/>
  <c r="C84" i="4" l="1"/>
  <c r="I61" i="4" s="1"/>
  <c r="C83" i="4"/>
  <c r="C76" i="4"/>
  <c r="I21" i="4" s="1"/>
  <c r="C75" i="4"/>
  <c r="C68" i="4"/>
  <c r="I19" i="4" s="1"/>
  <c r="C67" i="4"/>
  <c r="Q61" i="4"/>
  <c r="U61" i="4" s="1"/>
  <c r="N61" i="4"/>
  <c r="G61" i="4"/>
  <c r="Q60" i="4"/>
  <c r="U60" i="4" s="1"/>
  <c r="N60" i="4"/>
  <c r="G60" i="4"/>
  <c r="Q59" i="4"/>
  <c r="U59" i="4" s="1"/>
  <c r="N59" i="4"/>
  <c r="S59" i="4" s="1"/>
  <c r="I59" i="4"/>
  <c r="G59" i="4"/>
  <c r="U58" i="4"/>
  <c r="Q58" i="4"/>
  <c r="N58" i="4"/>
  <c r="S58" i="4" s="1"/>
  <c r="G58" i="4"/>
  <c r="Q57" i="4"/>
  <c r="U57" i="4" s="1"/>
  <c r="N57" i="4"/>
  <c r="S57" i="4" s="1"/>
  <c r="I57" i="4"/>
  <c r="G57" i="4"/>
  <c r="U56" i="4"/>
  <c r="Q56" i="4"/>
  <c r="N56" i="4"/>
  <c r="S56" i="4" s="1"/>
  <c r="G56" i="4"/>
  <c r="Q55" i="4"/>
  <c r="U55" i="4" s="1"/>
  <c r="N55" i="4"/>
  <c r="S55" i="4" s="1"/>
  <c r="I55" i="4"/>
  <c r="G55" i="4"/>
  <c r="G54" i="4"/>
  <c r="D54" i="4"/>
  <c r="D56" i="4" s="1"/>
  <c r="D57" i="4" s="1"/>
  <c r="Q53" i="4"/>
  <c r="U53" i="4" s="1"/>
  <c r="N53" i="4"/>
  <c r="S53" i="4" s="1"/>
  <c r="G53" i="4"/>
  <c r="Q52" i="4"/>
  <c r="U52" i="4" s="1"/>
  <c r="N52" i="4"/>
  <c r="S52" i="4" s="1"/>
  <c r="G52" i="4"/>
  <c r="D52" i="4"/>
  <c r="D51" i="4" s="1"/>
  <c r="D53" i="4" s="1"/>
  <c r="D55" i="4" s="1"/>
  <c r="S51" i="4"/>
  <c r="Q51" i="4"/>
  <c r="U51" i="4" s="1"/>
  <c r="N51" i="4"/>
  <c r="G51" i="4"/>
  <c r="U50" i="4"/>
  <c r="Q50" i="4"/>
  <c r="N50" i="4"/>
  <c r="S50" i="4" s="1"/>
  <c r="G50" i="4"/>
  <c r="D50" i="4"/>
  <c r="C42" i="4"/>
  <c r="V58" i="4" s="1"/>
  <c r="W58" i="4" s="1"/>
  <c r="C41" i="4"/>
  <c r="M33" i="4"/>
  <c r="Q33" i="4" s="1"/>
  <c r="J33" i="4"/>
  <c r="O33" i="4" s="1"/>
  <c r="D33" i="4"/>
  <c r="Q32" i="4"/>
  <c r="X20" i="4" s="1"/>
  <c r="Y20" i="4" s="1"/>
  <c r="O32" i="4"/>
  <c r="V60" i="4" s="1"/>
  <c r="W60" i="4" s="1"/>
  <c r="M32" i="4"/>
  <c r="J32" i="4"/>
  <c r="D32" i="4"/>
  <c r="M31" i="4"/>
  <c r="Q31" i="4" s="1"/>
  <c r="J31" i="4"/>
  <c r="O31" i="4" s="1"/>
  <c r="Z26" i="4"/>
  <c r="S26" i="4"/>
  <c r="Q26" i="4"/>
  <c r="U26" i="4" s="1"/>
  <c r="N26" i="4"/>
  <c r="G26" i="4"/>
  <c r="Q25" i="4"/>
  <c r="U25" i="4" s="1"/>
  <c r="N25" i="4"/>
  <c r="G25" i="4"/>
  <c r="Q24" i="4"/>
  <c r="U24" i="4" s="1"/>
  <c r="Z24" i="4" s="1"/>
  <c r="N24" i="4"/>
  <c r="S24" i="4" s="1"/>
  <c r="I24" i="4"/>
  <c r="G24" i="4"/>
  <c r="U23" i="4"/>
  <c r="Q23" i="4"/>
  <c r="N23" i="4"/>
  <c r="S23" i="4" s="1"/>
  <c r="V23" i="4" s="1"/>
  <c r="W23" i="4" s="1"/>
  <c r="G23" i="4"/>
  <c r="S22" i="4"/>
  <c r="Q22" i="4"/>
  <c r="U22" i="4" s="1"/>
  <c r="N22" i="4"/>
  <c r="I22" i="4"/>
  <c r="G22" i="4"/>
  <c r="X21" i="4"/>
  <c r="Y21" i="4" s="1"/>
  <c r="U21" i="4"/>
  <c r="Q21" i="4"/>
  <c r="N21" i="4"/>
  <c r="G21" i="4"/>
  <c r="Z20" i="4"/>
  <c r="Q20" i="4"/>
  <c r="U20" i="4" s="1"/>
  <c r="N20" i="4"/>
  <c r="S20" i="4" s="1"/>
  <c r="I20" i="4"/>
  <c r="G20" i="4"/>
  <c r="V19" i="4"/>
  <c r="W19" i="4" s="1"/>
  <c r="U19" i="4"/>
  <c r="S19" i="4"/>
  <c r="Q19" i="4"/>
  <c r="N19" i="4"/>
  <c r="G19" i="4"/>
  <c r="D19" i="4"/>
  <c r="D21" i="4" s="1"/>
  <c r="D22" i="4" s="1"/>
  <c r="Z18" i="4"/>
  <c r="Q18" i="4"/>
  <c r="U18" i="4" s="1"/>
  <c r="N18" i="4"/>
  <c r="S18" i="4" s="1"/>
  <c r="I18" i="4"/>
  <c r="G18" i="4"/>
  <c r="U17" i="4"/>
  <c r="S17" i="4"/>
  <c r="Q17" i="4"/>
  <c r="N17" i="4"/>
  <c r="G17" i="4"/>
  <c r="D17" i="4"/>
  <c r="Z16" i="4"/>
  <c r="X16" i="4"/>
  <c r="Y16" i="4" s="1"/>
  <c r="Q16" i="4"/>
  <c r="U16" i="4" s="1"/>
  <c r="N16" i="4"/>
  <c r="S16" i="4" s="1"/>
  <c r="G16" i="4"/>
  <c r="D16" i="4"/>
  <c r="D18" i="4" s="1"/>
  <c r="D20" i="4" s="1"/>
  <c r="S15" i="4"/>
  <c r="V15" i="4" s="1"/>
  <c r="W15" i="4" s="1"/>
  <c r="Q15" i="4"/>
  <c r="U15" i="4" s="1"/>
  <c r="N15" i="4"/>
  <c r="G15" i="4"/>
  <c r="D15" i="4"/>
  <c r="C6" i="4"/>
  <c r="V21" i="4" s="1"/>
  <c r="W21" i="4" s="1"/>
  <c r="C5" i="4"/>
  <c r="V25" i="4" s="1"/>
  <c r="W25" i="4" s="1"/>
  <c r="C8" i="4" l="1"/>
  <c r="D59" i="4"/>
  <c r="D58" i="4"/>
  <c r="D24" i="4"/>
  <c r="D23" i="4"/>
  <c r="Z21" i="4"/>
  <c r="Z60" i="4"/>
  <c r="Z61" i="4"/>
  <c r="Z15" i="4"/>
  <c r="Z58" i="4"/>
  <c r="Z56" i="4"/>
  <c r="Z54" i="4"/>
  <c r="Z50" i="4"/>
  <c r="Z23" i="4"/>
  <c r="Z52" i="4"/>
  <c r="Z25" i="4"/>
  <c r="Z19" i="4"/>
  <c r="Z17" i="4"/>
  <c r="Z51" i="4"/>
  <c r="X25" i="4"/>
  <c r="Y25" i="4" s="1"/>
  <c r="Z57" i="4"/>
  <c r="V50" i="4"/>
  <c r="W50" i="4" s="1"/>
  <c r="V56" i="4"/>
  <c r="W56" i="4" s="1"/>
  <c r="V22" i="4"/>
  <c r="W22" i="4" s="1"/>
  <c r="V53" i="4"/>
  <c r="W53" i="4" s="1"/>
  <c r="V51" i="4"/>
  <c r="W51" i="4" s="1"/>
  <c r="V59" i="4"/>
  <c r="W59" i="4" s="1"/>
  <c r="V57" i="4"/>
  <c r="W57" i="4" s="1"/>
  <c r="V55" i="4"/>
  <c r="W55" i="4" s="1"/>
  <c r="V24" i="4"/>
  <c r="W24" i="4" s="1"/>
  <c r="V26" i="4"/>
  <c r="W26" i="4" s="1"/>
  <c r="V61" i="4"/>
  <c r="W61" i="4" s="1"/>
  <c r="V20" i="4"/>
  <c r="W20" i="4" s="1"/>
  <c r="V18" i="4"/>
  <c r="W18" i="4" s="1"/>
  <c r="V16" i="4"/>
  <c r="W16" i="4" s="1"/>
  <c r="Z53" i="4"/>
  <c r="Z55" i="4"/>
  <c r="X18" i="4"/>
  <c r="Y18" i="4" s="1"/>
  <c r="Z22" i="4"/>
  <c r="X59" i="4"/>
  <c r="Y59" i="4" s="1"/>
  <c r="X57" i="4"/>
  <c r="Y57" i="4" s="1"/>
  <c r="X55" i="4"/>
  <c r="Y55" i="4" s="1"/>
  <c r="X24" i="4"/>
  <c r="Y24" i="4" s="1"/>
  <c r="X22" i="4"/>
  <c r="Y22" i="4" s="1"/>
  <c r="X61" i="4"/>
  <c r="Y61" i="4" s="1"/>
  <c r="X15" i="4"/>
  <c r="Y15" i="4" s="1"/>
  <c r="X19" i="4"/>
  <c r="Y19" i="4" s="1"/>
  <c r="X17" i="4"/>
  <c r="Y17" i="4" s="1"/>
  <c r="X58" i="4"/>
  <c r="Y58" i="4" s="1"/>
  <c r="X56" i="4"/>
  <c r="Y56" i="4" s="1"/>
  <c r="X54" i="4"/>
  <c r="Y54" i="4" s="1"/>
  <c r="X50" i="4"/>
  <c r="Y50" i="4" s="1"/>
  <c r="X23" i="4"/>
  <c r="Y23" i="4" s="1"/>
  <c r="C9" i="4" s="1"/>
  <c r="X53" i="4"/>
  <c r="Y53" i="4" s="1"/>
  <c r="X51" i="4"/>
  <c r="Y51" i="4" s="1"/>
  <c r="X26" i="4"/>
  <c r="Y26" i="4" s="1"/>
  <c r="V52" i="4"/>
  <c r="W52" i="4" s="1"/>
  <c r="X60" i="4"/>
  <c r="Y60" i="4" s="1"/>
  <c r="Z59" i="4"/>
  <c r="V17" i="4"/>
  <c r="W17" i="4" s="1"/>
  <c r="X52" i="4"/>
  <c r="Y52" i="4" s="1"/>
  <c r="I23" i="4"/>
  <c r="I25" i="4"/>
  <c r="I60" i="4"/>
  <c r="I17" i="4"/>
  <c r="I26" i="4"/>
  <c r="I53" i="4"/>
  <c r="I52" i="4"/>
  <c r="I56" i="4"/>
  <c r="I58" i="4"/>
  <c r="D61" i="4" l="1"/>
  <c r="D60" i="4"/>
  <c r="C45" i="4"/>
  <c r="D26" i="4"/>
  <c r="D25" i="4"/>
  <c r="C44" i="4"/>
  <c r="S61" i="3" l="1"/>
  <c r="Q61" i="3"/>
  <c r="U61" i="3" s="1"/>
  <c r="N61" i="3"/>
  <c r="G61" i="3"/>
  <c r="U60" i="3"/>
  <c r="Q60" i="3"/>
  <c r="N60" i="3"/>
  <c r="S60" i="3" s="1"/>
  <c r="G60" i="3"/>
  <c r="S59" i="3"/>
  <c r="Q59" i="3"/>
  <c r="U59" i="3" s="1"/>
  <c r="N59" i="3"/>
  <c r="G59" i="3"/>
  <c r="U58" i="3"/>
  <c r="Q58" i="3"/>
  <c r="N58" i="3"/>
  <c r="S58" i="3" s="1"/>
  <c r="G58" i="3"/>
  <c r="S57" i="3"/>
  <c r="Q57" i="3"/>
  <c r="U57" i="3" s="1"/>
  <c r="N57" i="3"/>
  <c r="G57" i="3"/>
  <c r="U56" i="3"/>
  <c r="Q56" i="3"/>
  <c r="N56" i="3"/>
  <c r="S56" i="3" s="1"/>
  <c r="G56" i="3"/>
  <c r="G55" i="3"/>
  <c r="U54" i="3"/>
  <c r="Q54" i="3"/>
  <c r="N54" i="3"/>
  <c r="S54" i="3" s="1"/>
  <c r="G54" i="3"/>
  <c r="Q53" i="3"/>
  <c r="U53" i="3" s="1"/>
  <c r="N53" i="3"/>
  <c r="S53" i="3" s="1"/>
  <c r="G53" i="3"/>
  <c r="U52" i="3"/>
  <c r="Q52" i="3"/>
  <c r="N52" i="3"/>
  <c r="S52" i="3" s="1"/>
  <c r="G52" i="3"/>
  <c r="D52" i="3"/>
  <c r="Q51" i="3"/>
  <c r="U51" i="3" s="1"/>
  <c r="N51" i="3"/>
  <c r="S51" i="3" s="1"/>
  <c r="G51" i="3"/>
  <c r="D51" i="3"/>
  <c r="D53" i="3" s="1"/>
  <c r="S50" i="3"/>
  <c r="Q50" i="3"/>
  <c r="U50" i="3" s="1"/>
  <c r="N50" i="3"/>
  <c r="G50" i="3"/>
  <c r="D50" i="3"/>
  <c r="C42" i="3"/>
  <c r="C41" i="3"/>
  <c r="P33" i="3"/>
  <c r="N33" i="3"/>
  <c r="R33" i="3" s="1"/>
  <c r="K33" i="3"/>
  <c r="F33" i="3"/>
  <c r="D33" i="3"/>
  <c r="N32" i="3"/>
  <c r="R32" i="3" s="1"/>
  <c r="K32" i="3"/>
  <c r="P32" i="3" s="1"/>
  <c r="F32" i="3"/>
  <c r="D32" i="3"/>
  <c r="N31" i="3"/>
  <c r="R31" i="3" s="1"/>
  <c r="K31" i="3"/>
  <c r="P31" i="3" s="1"/>
  <c r="Q26" i="3"/>
  <c r="U26" i="3" s="1"/>
  <c r="N26" i="3"/>
  <c r="S26" i="3" s="1"/>
  <c r="G26" i="3"/>
  <c r="U25" i="3"/>
  <c r="S25" i="3"/>
  <c r="Q25" i="3"/>
  <c r="N25" i="3"/>
  <c r="G25" i="3"/>
  <c r="Q24" i="3"/>
  <c r="U24" i="3" s="1"/>
  <c r="N24" i="3"/>
  <c r="S24" i="3" s="1"/>
  <c r="G24" i="3"/>
  <c r="U23" i="3"/>
  <c r="S23" i="3"/>
  <c r="Q23" i="3"/>
  <c r="N23" i="3"/>
  <c r="G23" i="3"/>
  <c r="Q22" i="3"/>
  <c r="U22" i="3" s="1"/>
  <c r="N22" i="3"/>
  <c r="S22" i="3" s="1"/>
  <c r="G22" i="3"/>
  <c r="C6" i="3" s="1"/>
  <c r="S21" i="3"/>
  <c r="G21" i="3"/>
  <c r="U20" i="3"/>
  <c r="S20" i="3"/>
  <c r="Q20" i="3"/>
  <c r="N20" i="3"/>
  <c r="G20" i="3"/>
  <c r="S19" i="3"/>
  <c r="G19" i="3"/>
  <c r="Q18" i="3"/>
  <c r="U18" i="3" s="1"/>
  <c r="N18" i="3"/>
  <c r="S18" i="3" s="1"/>
  <c r="G18" i="3"/>
  <c r="U17" i="3"/>
  <c r="S17" i="3"/>
  <c r="Q17" i="3"/>
  <c r="N17" i="3"/>
  <c r="G17" i="3"/>
  <c r="D17" i="3"/>
  <c r="Q16" i="3"/>
  <c r="U16" i="3" s="1"/>
  <c r="N16" i="3"/>
  <c r="S16" i="3" s="1"/>
  <c r="G16" i="3"/>
  <c r="D16" i="3"/>
  <c r="D18" i="3" s="1"/>
  <c r="S15" i="3"/>
  <c r="Q15" i="3"/>
  <c r="U15" i="3" s="1"/>
  <c r="N15" i="3"/>
  <c r="G15" i="3"/>
  <c r="D15" i="3"/>
  <c r="C5" i="3"/>
  <c r="X50" i="3" l="1"/>
  <c r="Y50" i="3" s="1"/>
  <c r="X52" i="3"/>
  <c r="Y52" i="3" s="1"/>
  <c r="X26" i="3"/>
  <c r="Y26" i="3" s="1"/>
  <c r="X54" i="3"/>
  <c r="Y54" i="3" s="1"/>
  <c r="X18" i="3"/>
  <c r="Y18" i="3" s="1"/>
  <c r="X61" i="3"/>
  <c r="Y61" i="3" s="1"/>
  <c r="X59" i="3"/>
  <c r="Y59" i="3" s="1"/>
  <c r="X57" i="3"/>
  <c r="Y57" i="3" s="1"/>
  <c r="X55" i="3"/>
  <c r="Y55" i="3" s="1"/>
  <c r="X15" i="3"/>
  <c r="Y15" i="3" s="1"/>
  <c r="X51" i="3"/>
  <c r="Y51" i="3" s="1"/>
  <c r="X24" i="3"/>
  <c r="Y24" i="3" s="1"/>
  <c r="X25" i="3"/>
  <c r="Y25" i="3" s="1"/>
  <c r="X23" i="3"/>
  <c r="Y23" i="3" s="1"/>
  <c r="C9" i="3" s="1"/>
  <c r="X21" i="3"/>
  <c r="Y21" i="3" s="1"/>
  <c r="X20" i="3"/>
  <c r="Y20" i="3" s="1"/>
  <c r="X17" i="3"/>
  <c r="Y17" i="3" s="1"/>
  <c r="X22" i="3"/>
  <c r="Y22" i="3" s="1"/>
  <c r="X19" i="3"/>
  <c r="Y19" i="3" s="1"/>
  <c r="X53" i="3"/>
  <c r="Y53" i="3" s="1"/>
  <c r="X60" i="3"/>
  <c r="Y60" i="3" s="1"/>
  <c r="X58" i="3"/>
  <c r="Y58" i="3" s="1"/>
  <c r="X56" i="3"/>
  <c r="Y56" i="3" s="1"/>
  <c r="X16" i="3"/>
  <c r="Y16" i="3" s="1"/>
  <c r="D20" i="3"/>
  <c r="D19" i="3"/>
  <c r="D21" i="3" s="1"/>
  <c r="D22" i="3" s="1"/>
  <c r="V60" i="3"/>
  <c r="W60" i="3" s="1"/>
  <c r="V58" i="3"/>
  <c r="W58" i="3" s="1"/>
  <c r="V56" i="3"/>
  <c r="W56" i="3" s="1"/>
  <c r="V24" i="3"/>
  <c r="W24" i="3" s="1"/>
  <c r="V19" i="3"/>
  <c r="W19" i="3" s="1"/>
  <c r="V18" i="3"/>
  <c r="W18" i="3" s="1"/>
  <c r="V26" i="3"/>
  <c r="W26" i="3" s="1"/>
  <c r="V22" i="3"/>
  <c r="W22" i="3" s="1"/>
  <c r="V16" i="3"/>
  <c r="W16" i="3" s="1"/>
  <c r="V51" i="3"/>
  <c r="W51" i="3" s="1"/>
  <c r="V50" i="3"/>
  <c r="W50" i="3" s="1"/>
  <c r="V54" i="3"/>
  <c r="W54" i="3" s="1"/>
  <c r="V52" i="3"/>
  <c r="W52" i="3" s="1"/>
  <c r="V15" i="3"/>
  <c r="W15" i="3" s="1"/>
  <c r="V25" i="3"/>
  <c r="W25" i="3" s="1"/>
  <c r="V23" i="3"/>
  <c r="W23" i="3" s="1"/>
  <c r="V21" i="3"/>
  <c r="W21" i="3" s="1"/>
  <c r="V20" i="3"/>
  <c r="W20" i="3" s="1"/>
  <c r="V17" i="3"/>
  <c r="W17" i="3" s="1"/>
  <c r="V61" i="3"/>
  <c r="W61" i="3" s="1"/>
  <c r="V59" i="3"/>
  <c r="W59" i="3" s="1"/>
  <c r="V57" i="3"/>
  <c r="W57" i="3" s="1"/>
  <c r="V55" i="3"/>
  <c r="W55" i="3" s="1"/>
  <c r="V53" i="3"/>
  <c r="W53" i="3" s="1"/>
  <c r="Z61" i="3"/>
  <c r="Z59" i="3"/>
  <c r="Z57" i="3"/>
  <c r="Z55" i="3"/>
  <c r="Z15" i="3"/>
  <c r="Z26" i="3"/>
  <c r="Z25" i="3"/>
  <c r="Z23" i="3"/>
  <c r="Z21" i="3"/>
  <c r="Z20" i="3"/>
  <c r="Z17" i="3"/>
  <c r="Z24" i="3"/>
  <c r="Z22" i="3"/>
  <c r="Z16" i="3"/>
  <c r="Z54" i="3"/>
  <c r="Z19" i="3"/>
  <c r="Z53" i="3"/>
  <c r="Z51" i="3"/>
  <c r="Z18" i="3"/>
  <c r="Z52" i="3"/>
  <c r="Z60" i="3"/>
  <c r="Z58" i="3"/>
  <c r="Z56" i="3"/>
  <c r="Z50" i="3"/>
  <c r="D54" i="3"/>
  <c r="D56" i="3" s="1"/>
  <c r="D57" i="3" s="1"/>
  <c r="D55" i="3"/>
  <c r="C44" i="3" l="1"/>
  <c r="C45" i="3"/>
  <c r="D58" i="3"/>
  <c r="D59" i="3"/>
  <c r="C8" i="3"/>
  <c r="D24" i="3"/>
  <c r="D23" i="3"/>
  <c r="D26" i="3" l="1"/>
  <c r="D25" i="3"/>
  <c r="D61" i="3"/>
  <c r="D60" i="3"/>
  <c r="P72" i="2" l="1"/>
  <c r="T72" i="2" s="1"/>
  <c r="M72" i="2"/>
  <c r="R72" i="2" s="1"/>
  <c r="G72" i="2"/>
  <c r="R71" i="2"/>
  <c r="P71" i="2"/>
  <c r="T71" i="2" s="1"/>
  <c r="M71" i="2"/>
  <c r="G71" i="2"/>
  <c r="T70" i="2"/>
  <c r="R70" i="2"/>
  <c r="P70" i="2"/>
  <c r="M70" i="2"/>
  <c r="G70" i="2"/>
  <c r="R69" i="2"/>
  <c r="P69" i="2"/>
  <c r="T69" i="2" s="1"/>
  <c r="M69" i="2"/>
  <c r="G69" i="2"/>
  <c r="C50" i="2" s="1"/>
  <c r="T68" i="2"/>
  <c r="R68" i="2"/>
  <c r="P68" i="2"/>
  <c r="M68" i="2"/>
  <c r="G68" i="2"/>
  <c r="D68" i="2"/>
  <c r="D69" i="2" s="1"/>
  <c r="D70" i="2" s="1"/>
  <c r="T67" i="2"/>
  <c r="P67" i="2"/>
  <c r="M67" i="2"/>
  <c r="R67" i="2" s="1"/>
  <c r="G67" i="2"/>
  <c r="T66" i="2"/>
  <c r="P66" i="2"/>
  <c r="M66" i="2"/>
  <c r="R66" i="2" s="1"/>
  <c r="G66" i="2"/>
  <c r="T65" i="2"/>
  <c r="P65" i="2"/>
  <c r="M65" i="2"/>
  <c r="R65" i="2" s="1"/>
  <c r="G65" i="2"/>
  <c r="D65" i="2"/>
  <c r="D66" i="2" s="1"/>
  <c r="D67" i="2" s="1"/>
  <c r="P64" i="2"/>
  <c r="T64" i="2" s="1"/>
  <c r="M64" i="2"/>
  <c r="R64" i="2" s="1"/>
  <c r="G64" i="2"/>
  <c r="D64" i="2"/>
  <c r="R63" i="2"/>
  <c r="P63" i="2"/>
  <c r="T63" i="2" s="1"/>
  <c r="M63" i="2"/>
  <c r="G63" i="2"/>
  <c r="D63" i="2"/>
  <c r="R62" i="2"/>
  <c r="P62" i="2"/>
  <c r="T62" i="2" s="1"/>
  <c r="M62" i="2"/>
  <c r="G62" i="2"/>
  <c r="D62" i="2"/>
  <c r="R61" i="2"/>
  <c r="P61" i="2"/>
  <c r="T61" i="2" s="1"/>
  <c r="M61" i="2"/>
  <c r="G61" i="2"/>
  <c r="D61" i="2"/>
  <c r="T60" i="2"/>
  <c r="R60" i="2"/>
  <c r="P60" i="2"/>
  <c r="M60" i="2"/>
  <c r="G60" i="2"/>
  <c r="R59" i="2"/>
  <c r="P59" i="2"/>
  <c r="T59" i="2" s="1"/>
  <c r="M59" i="2"/>
  <c r="G59" i="2"/>
  <c r="D59" i="2"/>
  <c r="R58" i="2"/>
  <c r="P58" i="2"/>
  <c r="T58" i="2" s="1"/>
  <c r="M58" i="2"/>
  <c r="G58" i="2"/>
  <c r="C49" i="2"/>
  <c r="Q41" i="2"/>
  <c r="M41" i="2"/>
  <c r="J41" i="2"/>
  <c r="O41" i="2" s="1"/>
  <c r="Q40" i="2"/>
  <c r="M40" i="2"/>
  <c r="J40" i="2"/>
  <c r="O40" i="2" s="1"/>
  <c r="Q39" i="2"/>
  <c r="O39" i="2"/>
  <c r="M39" i="2"/>
  <c r="J39" i="2"/>
  <c r="O38" i="2"/>
  <c r="M38" i="2"/>
  <c r="Q38" i="2" s="1"/>
  <c r="J38" i="2"/>
  <c r="O37" i="2"/>
  <c r="M37" i="2"/>
  <c r="Q37" i="2" s="1"/>
  <c r="J37" i="2"/>
  <c r="D37" i="2"/>
  <c r="D38" i="2" s="1"/>
  <c r="O36" i="2"/>
  <c r="M36" i="2"/>
  <c r="Q36" i="2" s="1"/>
  <c r="J36" i="2"/>
  <c r="D36" i="2"/>
  <c r="M35" i="2"/>
  <c r="Q35" i="2" s="1"/>
  <c r="J35" i="2"/>
  <c r="O35" i="2" s="1"/>
  <c r="R29" i="2"/>
  <c r="P29" i="2"/>
  <c r="T29" i="2" s="1"/>
  <c r="M29" i="2"/>
  <c r="G29" i="2"/>
  <c r="C6" i="2" s="1"/>
  <c r="T28" i="2"/>
  <c r="R28" i="2"/>
  <c r="P28" i="2"/>
  <c r="M28" i="2"/>
  <c r="G28" i="2"/>
  <c r="T27" i="2"/>
  <c r="P27" i="2"/>
  <c r="M27" i="2"/>
  <c r="R27" i="2" s="1"/>
  <c r="G27" i="2"/>
  <c r="T26" i="2"/>
  <c r="P26" i="2"/>
  <c r="M26" i="2"/>
  <c r="R26" i="2" s="1"/>
  <c r="G26" i="2"/>
  <c r="T25" i="2"/>
  <c r="P25" i="2"/>
  <c r="M25" i="2"/>
  <c r="R25" i="2" s="1"/>
  <c r="G25" i="2"/>
  <c r="D25" i="2"/>
  <c r="D26" i="2" s="1"/>
  <c r="D27" i="2" s="1"/>
  <c r="P24" i="2"/>
  <c r="T24" i="2" s="1"/>
  <c r="M24" i="2"/>
  <c r="R24" i="2" s="1"/>
  <c r="G24" i="2"/>
  <c r="R23" i="2"/>
  <c r="P23" i="2"/>
  <c r="T23" i="2" s="1"/>
  <c r="M23" i="2"/>
  <c r="G23" i="2"/>
  <c r="R22" i="2"/>
  <c r="P22" i="2"/>
  <c r="T22" i="2" s="1"/>
  <c r="M22" i="2"/>
  <c r="G22" i="2"/>
  <c r="D22" i="2"/>
  <c r="D23" i="2" s="1"/>
  <c r="D24" i="2" s="1"/>
  <c r="R21" i="2"/>
  <c r="P21" i="2"/>
  <c r="T21" i="2" s="1"/>
  <c r="M21" i="2"/>
  <c r="G21" i="2"/>
  <c r="D21" i="2"/>
  <c r="T20" i="2"/>
  <c r="R20" i="2"/>
  <c r="P20" i="2"/>
  <c r="M20" i="2"/>
  <c r="G20" i="2"/>
  <c r="D20" i="2"/>
  <c r="T19" i="2"/>
  <c r="P19" i="2"/>
  <c r="M19" i="2"/>
  <c r="R19" i="2" s="1"/>
  <c r="G19" i="2"/>
  <c r="D19" i="2"/>
  <c r="T18" i="2"/>
  <c r="P18" i="2"/>
  <c r="M18" i="2"/>
  <c r="R18" i="2" s="1"/>
  <c r="G18" i="2"/>
  <c r="D18" i="2"/>
  <c r="T17" i="2"/>
  <c r="P17" i="2"/>
  <c r="M17" i="2"/>
  <c r="R17" i="2" s="1"/>
  <c r="G17" i="2"/>
  <c r="T16" i="2"/>
  <c r="P16" i="2"/>
  <c r="M16" i="2"/>
  <c r="R16" i="2" s="1"/>
  <c r="G16" i="2"/>
  <c r="D16" i="2"/>
  <c r="T15" i="2"/>
  <c r="P15" i="2"/>
  <c r="M15" i="2"/>
  <c r="R15" i="2" s="1"/>
  <c r="G15" i="2"/>
  <c r="C5" i="2"/>
  <c r="U25" i="2" l="1"/>
  <c r="V25" i="2" s="1"/>
  <c r="U17" i="2"/>
  <c r="V17" i="2" s="1"/>
  <c r="D40" i="2"/>
  <c r="D39" i="2"/>
  <c r="D41" i="2" s="1"/>
  <c r="W70" i="2"/>
  <c r="X70" i="2" s="1"/>
  <c r="U68" i="2"/>
  <c r="V68" i="2" s="1"/>
  <c r="U22" i="2"/>
  <c r="V22" i="2" s="1"/>
  <c r="W25" i="2"/>
  <c r="X25" i="2" s="1"/>
  <c r="U23" i="2"/>
  <c r="V23" i="2" s="1"/>
  <c r="C8" i="2" s="1"/>
  <c r="W17" i="2"/>
  <c r="X17" i="2" s="1"/>
  <c r="Y72" i="2"/>
  <c r="Y64" i="2"/>
  <c r="Y24" i="2"/>
  <c r="Y15" i="2"/>
  <c r="Y69" i="2"/>
  <c r="Y61" i="2"/>
  <c r="Y58" i="2"/>
  <c r="Y29" i="2"/>
  <c r="Y21" i="2"/>
  <c r="Y19" i="2"/>
  <c r="Y66" i="2"/>
  <c r="Y26" i="2"/>
  <c r="Y18" i="2"/>
  <c r="Y71" i="2"/>
  <c r="Y63" i="2"/>
  <c r="Y23" i="2"/>
  <c r="Y27" i="2"/>
  <c r="Y68" i="2"/>
  <c r="Y60" i="2"/>
  <c r="Y28" i="2"/>
  <c r="Y20" i="2"/>
  <c r="Y16" i="2"/>
  <c r="Y65" i="2"/>
  <c r="Y25" i="2"/>
  <c r="Y17" i="2"/>
  <c r="Y70" i="2"/>
  <c r="Y62" i="2"/>
  <c r="Y59" i="2"/>
  <c r="Y22" i="2"/>
  <c r="Y67" i="2"/>
  <c r="U63" i="2"/>
  <c r="V63" i="2" s="1"/>
  <c r="U71" i="2"/>
  <c r="V71" i="2" s="1"/>
  <c r="U15" i="2"/>
  <c r="V15" i="2" s="1"/>
  <c r="U18" i="2"/>
  <c r="V18" i="2" s="1"/>
  <c r="W20" i="2"/>
  <c r="X20" i="2" s="1"/>
  <c r="U26" i="2"/>
  <c r="V26" i="2" s="1"/>
  <c r="D28" i="2"/>
  <c r="D29" i="2" s="1"/>
  <c r="W28" i="2"/>
  <c r="X28" i="2" s="1"/>
  <c r="W60" i="2"/>
  <c r="X60" i="2" s="1"/>
  <c r="U66" i="2"/>
  <c r="V66" i="2" s="1"/>
  <c r="W68" i="2"/>
  <c r="X68" i="2" s="1"/>
  <c r="W65" i="2"/>
  <c r="X65" i="2" s="1"/>
  <c r="U21" i="2"/>
  <c r="V21" i="2" s="1"/>
  <c r="W23" i="2"/>
  <c r="X23" i="2" s="1"/>
  <c r="U29" i="2"/>
  <c r="V29" i="2" s="1"/>
  <c r="U58" i="2"/>
  <c r="V58" i="2" s="1"/>
  <c r="U61" i="2"/>
  <c r="V61" i="2" s="1"/>
  <c r="W63" i="2"/>
  <c r="X63" i="2" s="1"/>
  <c r="U69" i="2"/>
  <c r="V69" i="2" s="1"/>
  <c r="D71" i="2"/>
  <c r="D72" i="2" s="1"/>
  <c r="W71" i="2"/>
  <c r="X71" i="2" s="1"/>
  <c r="W15" i="2"/>
  <c r="X15" i="2" s="1"/>
  <c r="W18" i="2"/>
  <c r="X18" i="2" s="1"/>
  <c r="U24" i="2"/>
  <c r="V24" i="2" s="1"/>
  <c r="W26" i="2"/>
  <c r="X26" i="2" s="1"/>
  <c r="U64" i="2"/>
  <c r="V64" i="2" s="1"/>
  <c r="W66" i="2"/>
  <c r="X66" i="2" s="1"/>
  <c r="U72" i="2"/>
  <c r="V72" i="2" s="1"/>
  <c r="U16" i="2"/>
  <c r="V16" i="2" s="1"/>
  <c r="U19" i="2"/>
  <c r="V19" i="2" s="1"/>
  <c r="W21" i="2"/>
  <c r="X21" i="2" s="1"/>
  <c r="U27" i="2"/>
  <c r="V27" i="2" s="1"/>
  <c r="W29" i="2"/>
  <c r="X29" i="2" s="1"/>
  <c r="W58" i="2"/>
  <c r="X58" i="2" s="1"/>
  <c r="W61" i="2"/>
  <c r="X61" i="2" s="1"/>
  <c r="U67" i="2"/>
  <c r="V67" i="2" s="1"/>
  <c r="W69" i="2"/>
  <c r="X69" i="2" s="1"/>
  <c r="W24" i="2"/>
  <c r="X24" i="2" s="1"/>
  <c r="U59" i="2"/>
  <c r="V59" i="2" s="1"/>
  <c r="U62" i="2"/>
  <c r="V62" i="2" s="1"/>
  <c r="W64" i="2"/>
  <c r="X64" i="2" s="1"/>
  <c r="U70" i="2"/>
  <c r="V70" i="2" s="1"/>
  <c r="W72" i="2"/>
  <c r="X72" i="2" s="1"/>
  <c r="W19" i="2"/>
  <c r="X19" i="2" s="1"/>
  <c r="U65" i="2"/>
  <c r="V65" i="2" s="1"/>
  <c r="W67" i="2"/>
  <c r="X67" i="2" s="1"/>
  <c r="C53" i="2" s="1"/>
  <c r="W16" i="2"/>
  <c r="X16" i="2" s="1"/>
  <c r="W27" i="2"/>
  <c r="X27" i="2" s="1"/>
  <c r="U20" i="2"/>
  <c r="V20" i="2" s="1"/>
  <c r="W22" i="2"/>
  <c r="X22" i="2" s="1"/>
  <c r="U28" i="2"/>
  <c r="V28" i="2" s="1"/>
  <c r="W59" i="2"/>
  <c r="X59" i="2" s="1"/>
  <c r="U60" i="2"/>
  <c r="V60" i="2" s="1"/>
  <c r="W62" i="2"/>
  <c r="X62" i="2" s="1"/>
  <c r="C52" i="2" l="1"/>
  <c r="C9" i="2"/>
  <c r="R70" i="1" l="1"/>
  <c r="P70" i="1"/>
  <c r="T70" i="1" s="1"/>
  <c r="M70" i="1"/>
  <c r="G70" i="1"/>
  <c r="T69" i="1"/>
  <c r="P69" i="1"/>
  <c r="M69" i="1"/>
  <c r="R69" i="1" s="1"/>
  <c r="G69" i="1"/>
  <c r="T68" i="1"/>
  <c r="P68" i="1"/>
  <c r="M68" i="1"/>
  <c r="R68" i="1" s="1"/>
  <c r="G68" i="1"/>
  <c r="D68" i="1"/>
  <c r="D69" i="1" s="1"/>
  <c r="D70" i="1" s="1"/>
  <c r="M67" i="1"/>
  <c r="R67" i="1" s="1"/>
  <c r="G67" i="1"/>
  <c r="D67" i="1"/>
  <c r="T66" i="1"/>
  <c r="R66" i="1"/>
  <c r="P66" i="1"/>
  <c r="M66" i="1"/>
  <c r="G66" i="1"/>
  <c r="R65" i="1"/>
  <c r="P65" i="1"/>
  <c r="T65" i="1" s="1"/>
  <c r="M65" i="1"/>
  <c r="G65" i="1"/>
  <c r="C48" i="1" s="1"/>
  <c r="R64" i="1"/>
  <c r="P64" i="1"/>
  <c r="T64" i="1" s="1"/>
  <c r="M64" i="1"/>
  <c r="G64" i="1"/>
  <c r="T63" i="1"/>
  <c r="P63" i="1"/>
  <c r="M63" i="1"/>
  <c r="R63" i="1" s="1"/>
  <c r="G63" i="1"/>
  <c r="T62" i="1"/>
  <c r="P62" i="1"/>
  <c r="M62" i="1"/>
  <c r="R62" i="1" s="1"/>
  <c r="G62" i="1"/>
  <c r="T61" i="1"/>
  <c r="R61" i="1"/>
  <c r="P61" i="1"/>
  <c r="M61" i="1"/>
  <c r="G61" i="1"/>
  <c r="P60" i="1"/>
  <c r="T60" i="1" s="1"/>
  <c r="M60" i="1"/>
  <c r="R60" i="1" s="1"/>
  <c r="G60" i="1"/>
  <c r="P59" i="1"/>
  <c r="T59" i="1" s="1"/>
  <c r="M59" i="1"/>
  <c r="R59" i="1" s="1"/>
  <c r="G59" i="1"/>
  <c r="T58" i="1"/>
  <c r="R58" i="1"/>
  <c r="P58" i="1"/>
  <c r="M58" i="1"/>
  <c r="G58" i="1"/>
  <c r="R57" i="1"/>
  <c r="P57" i="1"/>
  <c r="T57" i="1" s="1"/>
  <c r="M57" i="1"/>
  <c r="G57" i="1"/>
  <c r="D57" i="1"/>
  <c r="D58" i="1" s="1"/>
  <c r="D59" i="1" s="1"/>
  <c r="R56" i="1"/>
  <c r="P56" i="1"/>
  <c r="T56" i="1" s="1"/>
  <c r="M56" i="1"/>
  <c r="G56" i="1"/>
  <c r="C47" i="1"/>
  <c r="Q39" i="1"/>
  <c r="O39" i="1"/>
  <c r="M39" i="1"/>
  <c r="J39" i="1"/>
  <c r="Q38" i="1"/>
  <c r="M38" i="1"/>
  <c r="J38" i="1"/>
  <c r="O38" i="1" s="1"/>
  <c r="D38" i="1"/>
  <c r="D39" i="1" s="1"/>
  <c r="Q37" i="1"/>
  <c r="M37" i="1"/>
  <c r="J37" i="1"/>
  <c r="O37" i="1" s="1"/>
  <c r="D37" i="1"/>
  <c r="M36" i="1"/>
  <c r="Q36" i="1" s="1"/>
  <c r="J36" i="1"/>
  <c r="O36" i="1" s="1"/>
  <c r="R29" i="1"/>
  <c r="P29" i="1"/>
  <c r="T29" i="1" s="1"/>
  <c r="M29" i="1"/>
  <c r="G29" i="1"/>
  <c r="P28" i="1"/>
  <c r="T28" i="1" s="1"/>
  <c r="M28" i="1"/>
  <c r="R28" i="1" s="1"/>
  <c r="G28" i="1"/>
  <c r="P27" i="1"/>
  <c r="T27" i="1" s="1"/>
  <c r="M27" i="1"/>
  <c r="R27" i="1" s="1"/>
  <c r="G27" i="1"/>
  <c r="T26" i="1"/>
  <c r="R26" i="1"/>
  <c r="P26" i="1"/>
  <c r="M26" i="1"/>
  <c r="G26" i="1"/>
  <c r="D26" i="1"/>
  <c r="D27" i="1" s="1"/>
  <c r="D28" i="1" s="1"/>
  <c r="D29" i="1" s="1"/>
  <c r="R25" i="1"/>
  <c r="P25" i="1"/>
  <c r="T25" i="1" s="1"/>
  <c r="M25" i="1"/>
  <c r="G25" i="1"/>
  <c r="P24" i="1"/>
  <c r="T24" i="1" s="1"/>
  <c r="M24" i="1"/>
  <c r="R24" i="1" s="1"/>
  <c r="G24" i="1"/>
  <c r="T23" i="1"/>
  <c r="P23" i="1"/>
  <c r="M23" i="1"/>
  <c r="R23" i="1" s="1"/>
  <c r="G23" i="1"/>
  <c r="T22" i="1"/>
  <c r="P22" i="1"/>
  <c r="M22" i="1"/>
  <c r="R22" i="1" s="1"/>
  <c r="G22" i="1"/>
  <c r="R21" i="1"/>
  <c r="P21" i="1"/>
  <c r="T21" i="1" s="1"/>
  <c r="M21" i="1"/>
  <c r="G21" i="1"/>
  <c r="P20" i="1"/>
  <c r="T20" i="1" s="1"/>
  <c r="M20" i="1"/>
  <c r="R20" i="1" s="1"/>
  <c r="G20" i="1"/>
  <c r="P19" i="1"/>
  <c r="T19" i="1" s="1"/>
  <c r="M19" i="1"/>
  <c r="R19" i="1" s="1"/>
  <c r="G19" i="1"/>
  <c r="T18" i="1"/>
  <c r="R18" i="1"/>
  <c r="P18" i="1"/>
  <c r="M18" i="1"/>
  <c r="G18" i="1"/>
  <c r="R17" i="1"/>
  <c r="P17" i="1"/>
  <c r="T17" i="1" s="1"/>
  <c r="M17" i="1"/>
  <c r="G17" i="1"/>
  <c r="D17" i="1"/>
  <c r="D18" i="1" s="1"/>
  <c r="P16" i="1"/>
  <c r="T16" i="1" s="1"/>
  <c r="M16" i="1"/>
  <c r="R16" i="1" s="1"/>
  <c r="G16" i="1"/>
  <c r="D16" i="1"/>
  <c r="D19" i="1" s="1"/>
  <c r="D20" i="1" s="1"/>
  <c r="T15" i="1"/>
  <c r="P15" i="1"/>
  <c r="M15" i="1"/>
  <c r="R15" i="1" s="1"/>
  <c r="G15" i="1"/>
  <c r="C6" i="1"/>
  <c r="C5" i="1"/>
  <c r="U60" i="1" l="1"/>
  <c r="V60" i="1" s="1"/>
  <c r="U65" i="1"/>
  <c r="V65" i="1" s="1"/>
  <c r="U57" i="1"/>
  <c r="V57" i="1" s="1"/>
  <c r="U25" i="1"/>
  <c r="V25" i="1" s="1"/>
  <c r="U17" i="1"/>
  <c r="V17" i="1" s="1"/>
  <c r="U19" i="1"/>
  <c r="V19" i="1" s="1"/>
  <c r="U16" i="1"/>
  <c r="V16" i="1" s="1"/>
  <c r="U26" i="1"/>
  <c r="V26" i="1" s="1"/>
  <c r="U69" i="1"/>
  <c r="V69" i="1" s="1"/>
  <c r="U68" i="1"/>
  <c r="V68" i="1" s="1"/>
  <c r="U62" i="1"/>
  <c r="V62" i="1" s="1"/>
  <c r="U22" i="1"/>
  <c r="V22" i="1" s="1"/>
  <c r="U59" i="1"/>
  <c r="V59" i="1" s="1"/>
  <c r="U27" i="1"/>
  <c r="V27" i="1" s="1"/>
  <c r="U70" i="1"/>
  <c r="V70" i="1" s="1"/>
  <c r="C50" i="1" s="1"/>
  <c r="U64" i="1"/>
  <c r="V64" i="1" s="1"/>
  <c r="U56" i="1"/>
  <c r="V56" i="1" s="1"/>
  <c r="U24" i="1"/>
  <c r="V24" i="1" s="1"/>
  <c r="U67" i="1"/>
  <c r="V67" i="1" s="1"/>
  <c r="U61" i="1"/>
  <c r="V61" i="1" s="1"/>
  <c r="U29" i="1"/>
  <c r="V29" i="1" s="1"/>
  <c r="U21" i="1"/>
  <c r="V21" i="1" s="1"/>
  <c r="U66" i="1"/>
  <c r="V66" i="1" s="1"/>
  <c r="U58" i="1"/>
  <c r="V58" i="1" s="1"/>
  <c r="U18" i="1"/>
  <c r="V18" i="1" s="1"/>
  <c r="U63" i="1"/>
  <c r="V63" i="1" s="1"/>
  <c r="U23" i="1"/>
  <c r="V23" i="1" s="1"/>
  <c r="U15" i="1"/>
  <c r="V15" i="1" s="1"/>
  <c r="U28" i="1"/>
  <c r="V28" i="1" s="1"/>
  <c r="C8" i="1" s="1"/>
  <c r="U20" i="1"/>
  <c r="V20" i="1" s="1"/>
  <c r="D21" i="1"/>
  <c r="D22" i="1" s="1"/>
  <c r="D23" i="1"/>
  <c r="D24" i="1" s="1"/>
  <c r="D25" i="1" s="1"/>
  <c r="Y70" i="1"/>
  <c r="W68" i="1"/>
  <c r="X68" i="1" s="1"/>
  <c r="Y64" i="1"/>
  <c r="W62" i="1"/>
  <c r="X62" i="1" s="1"/>
  <c r="Y56" i="1"/>
  <c r="Y67" i="1"/>
  <c r="Y61" i="1"/>
  <c r="W59" i="1"/>
  <c r="X59" i="1" s="1"/>
  <c r="Y29" i="1"/>
  <c r="W27" i="1"/>
  <c r="X27" i="1" s="1"/>
  <c r="Y21" i="1"/>
  <c r="W19" i="1"/>
  <c r="X19" i="1" s="1"/>
  <c r="W16" i="1"/>
  <c r="X16" i="1" s="1"/>
  <c r="Y15" i="1"/>
  <c r="W60" i="1"/>
  <c r="X60" i="1" s="1"/>
  <c r="W28" i="1"/>
  <c r="X28" i="1" s="1"/>
  <c r="W20" i="1"/>
  <c r="X20" i="1" s="1"/>
  <c r="W65" i="1"/>
  <c r="X65" i="1" s="1"/>
  <c r="W57" i="1"/>
  <c r="X57" i="1" s="1"/>
  <c r="Y24" i="1"/>
  <c r="W70" i="1"/>
  <c r="X70" i="1" s="1"/>
  <c r="Y66" i="1"/>
  <c r="W64" i="1"/>
  <c r="X64" i="1" s="1"/>
  <c r="Y58" i="1"/>
  <c r="W56" i="1"/>
  <c r="X56" i="1" s="1"/>
  <c r="Y26" i="1"/>
  <c r="W24" i="1"/>
  <c r="X24" i="1" s="1"/>
  <c r="Y18" i="1"/>
  <c r="Y22" i="1"/>
  <c r="Y19" i="1"/>
  <c r="Y16" i="1"/>
  <c r="Y69" i="1"/>
  <c r="W67" i="1"/>
  <c r="X67" i="1" s="1"/>
  <c r="Y63" i="1"/>
  <c r="W61" i="1"/>
  <c r="X61" i="1" s="1"/>
  <c r="W29" i="1"/>
  <c r="X29" i="1" s="1"/>
  <c r="Y23" i="1"/>
  <c r="W21" i="1"/>
  <c r="X21" i="1" s="1"/>
  <c r="W17" i="1"/>
  <c r="X17" i="1" s="1"/>
  <c r="W66" i="1"/>
  <c r="X66" i="1" s="1"/>
  <c r="Y60" i="1"/>
  <c r="W58" i="1"/>
  <c r="X58" i="1" s="1"/>
  <c r="Y28" i="1"/>
  <c r="W26" i="1"/>
  <c r="X26" i="1" s="1"/>
  <c r="Y20" i="1"/>
  <c r="W18" i="1"/>
  <c r="X18" i="1" s="1"/>
  <c r="Y59" i="1"/>
  <c r="W69" i="1"/>
  <c r="X69" i="1" s="1"/>
  <c r="Y65" i="1"/>
  <c r="W63" i="1"/>
  <c r="X63" i="1" s="1"/>
  <c r="Y57" i="1"/>
  <c r="Y25" i="1"/>
  <c r="W23" i="1"/>
  <c r="X23" i="1" s="1"/>
  <c r="Y17" i="1"/>
  <c r="W15" i="1"/>
  <c r="X15" i="1" s="1"/>
  <c r="Y68" i="1"/>
  <c r="Y62" i="1"/>
  <c r="Y27" i="1"/>
  <c r="W25" i="1"/>
  <c r="X25" i="1" s="1"/>
  <c r="W22" i="1"/>
  <c r="X22" i="1" s="1"/>
  <c r="D60" i="1"/>
  <c r="D61" i="1" s="1"/>
  <c r="D62" i="1" l="1"/>
  <c r="D63" i="1" s="1"/>
  <c r="D64" i="1"/>
  <c r="D65" i="1" s="1"/>
  <c r="D66" i="1" s="1"/>
  <c r="C9" i="1"/>
  <c r="C51" i="1"/>
</calcChain>
</file>

<file path=xl/sharedStrings.xml><?xml version="1.0" encoding="utf-8"?>
<sst xmlns="http://schemas.openxmlformats.org/spreadsheetml/2006/main" count="1228" uniqueCount="85">
  <si>
    <t>T-start</t>
  </si>
  <si>
    <t>Weight reactor empty</t>
  </si>
  <si>
    <t>Weight reactor full</t>
  </si>
  <si>
    <t>Weight sepiolite added</t>
  </si>
  <si>
    <t>Flow rate</t>
  </si>
  <si>
    <t>Surface area sepiolite</t>
  </si>
  <si>
    <t>Precipitation rate Mg</t>
  </si>
  <si>
    <t>Precipitation rate Si</t>
  </si>
  <si>
    <t xml:space="preserve">Essentials </t>
  </si>
  <si>
    <t>Sampling</t>
  </si>
  <si>
    <t>Dilutions</t>
  </si>
  <si>
    <t>Data</t>
  </si>
  <si>
    <t>Calculations</t>
  </si>
  <si>
    <t>T-step</t>
  </si>
  <si>
    <t>Date</t>
  </si>
  <si>
    <t>Time</t>
  </si>
  <si>
    <t>Time past</t>
  </si>
  <si>
    <t>Weight tube</t>
  </si>
  <si>
    <t>Total weight</t>
  </si>
  <si>
    <t>Weight sample</t>
  </si>
  <si>
    <t>pH</t>
  </si>
  <si>
    <t>Weight OES</t>
  </si>
  <si>
    <t>Weight HNO3</t>
  </si>
  <si>
    <t>Weight 1% HNO3</t>
  </si>
  <si>
    <t>Dilution factor</t>
  </si>
  <si>
    <t>Weight SFA</t>
  </si>
  <si>
    <t>Weight DI</t>
  </si>
  <si>
    <t>Dilution SFA</t>
  </si>
  <si>
    <t>Mg (ppm)</t>
  </si>
  <si>
    <t>Mg (mmol/L)</t>
  </si>
  <si>
    <t>SiO2 (ppm)</t>
  </si>
  <si>
    <t>SiO2 (mmol/L)</t>
  </si>
  <si>
    <t>Rate Mg (mol/cm2/s)</t>
  </si>
  <si>
    <t>Log Rate Mg (mol/cm2/s)</t>
  </si>
  <si>
    <t>Rate Si (mol/cm2/s)</t>
  </si>
  <si>
    <t>Log Rate Si (mol/cm2/s)</t>
  </si>
  <si>
    <t>Si/Mg ratio</t>
  </si>
  <si>
    <t>pH calc</t>
  </si>
  <si>
    <t xml:space="preserve">pH calibartions -1 </t>
  </si>
  <si>
    <t>mV</t>
  </si>
  <si>
    <t>pH calibartions -2</t>
  </si>
  <si>
    <t>Reactor A: P-1</t>
  </si>
  <si>
    <t>Reactor B: P-1</t>
  </si>
  <si>
    <t>Reactor A: P-2</t>
  </si>
  <si>
    <t>Reactor B: P-2</t>
  </si>
  <si>
    <t>Reactor A: P-3</t>
  </si>
  <si>
    <t>Reactor B: P-3</t>
  </si>
  <si>
    <t>Reactor A: P-4</t>
  </si>
  <si>
    <t>Reactor B: P-4</t>
  </si>
  <si>
    <t>Reactor A: P-5</t>
  </si>
  <si>
    <t>Reactor B: P-5</t>
  </si>
  <si>
    <t>Time past (h)</t>
  </si>
  <si>
    <t>Reactor A: P-6</t>
  </si>
  <si>
    <t>Reactor B: P-6</t>
  </si>
  <si>
    <t>Average Rate</t>
  </si>
  <si>
    <t xml:space="preserve">Seconds past </t>
  </si>
  <si>
    <t>mol</t>
  </si>
  <si>
    <t>Reactor B: P-L</t>
  </si>
  <si>
    <t>Reactor A: P-L</t>
  </si>
  <si>
    <t>Total Sample weight</t>
  </si>
  <si>
    <t>Dilution Factor OES</t>
  </si>
  <si>
    <t>Reactor B: D-1</t>
  </si>
  <si>
    <t>Reactor A: D-1</t>
  </si>
  <si>
    <t>Reactor A: D-2</t>
  </si>
  <si>
    <t>Reactor B: D-2</t>
  </si>
  <si>
    <t>Reactor A: D-3</t>
  </si>
  <si>
    <t>Reactor B: D-3</t>
  </si>
  <si>
    <t>Reactor A: D-4</t>
  </si>
  <si>
    <t>Reactor B: D-4</t>
  </si>
  <si>
    <t>Reactor A: D-5</t>
  </si>
  <si>
    <t>Reactor B: D-5</t>
  </si>
  <si>
    <t>ppm Mg</t>
  </si>
  <si>
    <t>mM Mg</t>
  </si>
  <si>
    <t>ppm Si</t>
  </si>
  <si>
    <t>mM Si</t>
  </si>
  <si>
    <t xml:space="preserve">Intitial sample </t>
  </si>
  <si>
    <t>Reactor A: D-6</t>
  </si>
  <si>
    <t>Reactor B: D-6</t>
  </si>
  <si>
    <t>Reactor A: D-7</t>
  </si>
  <si>
    <t>Reactor B: D-7</t>
  </si>
  <si>
    <t>Si (mmol/gr) (OES)</t>
  </si>
  <si>
    <t>Si (mmol/gr) (SFA)</t>
  </si>
  <si>
    <t>Reactor A</t>
  </si>
  <si>
    <t>Reactor B</t>
  </si>
  <si>
    <t>Time past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</si>
</sst>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0"/>
    <numFmt numFmtId="165" formatCode="[$-F400]h:mm:ss\ AM/PM"/>
    <numFmt numFmtId="166" formatCode="0.000"/>
  </numFmts>
  <fonts count="8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4FF00"/>
        <bgColor indexed="64"/>
      </patternFill>
    </fill>
    <fill>
      <patternFill patternType="solid">
        <fgColor rgb="FF92FFE5"/>
        <bgColor indexed="64"/>
      </patternFill>
    </fill>
    <fill>
      <patternFill patternType="solid">
        <fgColor rgb="FFB9B1FF"/>
        <bgColor indexed="64"/>
      </patternFill>
    </fill>
    <fill>
      <patternFill patternType="solid">
        <fgColor rgb="FFBFFABF"/>
        <bgColor indexed="64"/>
      </patternFill>
    </fill>
    <fill>
      <patternFill patternType="solid">
        <fgColor rgb="FFFFCBF6"/>
        <bgColor indexed="64"/>
      </patternFill>
    </fill>
    <fill>
      <patternFill patternType="solid">
        <fgColor rgb="FFFF81A7"/>
        <bgColor indexed="64"/>
      </patternFill>
    </fill>
    <fill>
      <patternFill patternType="solid">
        <fgColor rgb="FFA4F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0" borderId="0" xfId="0" applyFont="1"/>
    <xf numFmtId="0" fontId="2" fillId="0" borderId="0" xfId="0" applyFont="1"/>
    <xf numFmtId="20" fontId="0" fillId="0" borderId="0" xfId="0" applyNumberFormat="1"/>
    <xf numFmtId="0" fontId="3" fillId="2" borderId="1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3" fillId="2" borderId="4" xfId="0" applyFont="1" applyFill="1" applyBorder="1"/>
    <xf numFmtId="0" fontId="0" fillId="2" borderId="5" xfId="0" applyFill="1" applyBorder="1"/>
    <xf numFmtId="0" fontId="0" fillId="2" borderId="6" xfId="0" applyFill="1" applyBorder="1"/>
    <xf numFmtId="0" fontId="3" fillId="0" borderId="0" xfId="0" applyFont="1"/>
    <xf numFmtId="0" fontId="4" fillId="3" borderId="1" xfId="0" applyFont="1" applyFill="1" applyBorder="1"/>
    <xf numFmtId="0" fontId="3" fillId="3" borderId="2" xfId="0" applyFont="1" applyFill="1" applyBorder="1"/>
    <xf numFmtId="0" fontId="4" fillId="4" borderId="2" xfId="0" applyFont="1" applyFill="1" applyBorder="1"/>
    <xf numFmtId="0" fontId="3" fillId="4" borderId="2" xfId="0" applyFont="1" applyFill="1" applyBorder="1"/>
    <xf numFmtId="0" fontId="4" fillId="5" borderId="2" xfId="0" applyFont="1" applyFill="1" applyBorder="1"/>
    <xf numFmtId="0" fontId="4" fillId="6" borderId="2" xfId="0" applyFont="1" applyFill="1" applyBorder="1"/>
    <xf numFmtId="0" fontId="4" fillId="7" borderId="2" xfId="0" applyFont="1" applyFill="1" applyBorder="1"/>
    <xf numFmtId="0" fontId="0" fillId="7" borderId="2" xfId="0" applyFill="1" applyBorder="1"/>
    <xf numFmtId="0" fontId="4" fillId="8" borderId="2" xfId="0" applyFont="1" applyFill="1" applyBorder="1"/>
    <xf numFmtId="0" fontId="0" fillId="8" borderId="2" xfId="0" applyFill="1" applyBorder="1"/>
    <xf numFmtId="0" fontId="0" fillId="8" borderId="3" xfId="0" applyFill="1" applyBorder="1"/>
    <xf numFmtId="0" fontId="2" fillId="3" borderId="4" xfId="0" applyFont="1" applyFill="1" applyBorder="1"/>
    <xf numFmtId="0" fontId="2" fillId="3" borderId="5" xfId="0" applyFont="1" applyFill="1" applyBorder="1"/>
    <xf numFmtId="0" fontId="2" fillId="4" borderId="5" xfId="0" applyFont="1" applyFill="1" applyBorder="1"/>
    <xf numFmtId="0" fontId="2" fillId="5" borderId="5" xfId="0" applyFont="1" applyFill="1" applyBorder="1"/>
    <xf numFmtId="0" fontId="2" fillId="6" borderId="5" xfId="0" applyFont="1" applyFill="1" applyBorder="1"/>
    <xf numFmtId="0" fontId="2" fillId="7" borderId="5" xfId="0" applyFont="1" applyFill="1" applyBorder="1"/>
    <xf numFmtId="0" fontId="2" fillId="7" borderId="0" xfId="0" applyFont="1" applyFill="1"/>
    <xf numFmtId="0" fontId="2" fillId="8" borderId="5" xfId="0" applyFont="1" applyFill="1" applyBorder="1"/>
    <xf numFmtId="0" fontId="0" fillId="8" borderId="6" xfId="0" applyFill="1" applyBorder="1"/>
    <xf numFmtId="0" fontId="0" fillId="0" borderId="7" xfId="0" applyBorder="1"/>
    <xf numFmtId="16" fontId="0" fillId="0" borderId="7" xfId="0" applyNumberFormat="1" applyBorder="1"/>
    <xf numFmtId="20" fontId="0" fillId="0" borderId="7" xfId="0" applyNumberFormat="1" applyBorder="1"/>
    <xf numFmtId="2" fontId="0" fillId="0" borderId="7" xfId="0" applyNumberFormat="1" applyBorder="1"/>
    <xf numFmtId="0" fontId="0" fillId="0" borderId="8" xfId="0" applyBorder="1"/>
    <xf numFmtId="20" fontId="0" fillId="0" borderId="8" xfId="0" applyNumberFormat="1" applyBorder="1"/>
    <xf numFmtId="2" fontId="0" fillId="0" borderId="8" xfId="0" applyNumberFormat="1" applyBorder="1"/>
    <xf numFmtId="16" fontId="0" fillId="0" borderId="8" xfId="0" applyNumberFormat="1" applyBorder="1"/>
    <xf numFmtId="164" fontId="0" fillId="0" borderId="8" xfId="0" applyNumberFormat="1" applyBorder="1"/>
    <xf numFmtId="0" fontId="0" fillId="7" borderId="3" xfId="0" applyFill="1" applyBorder="1"/>
    <xf numFmtId="0" fontId="2" fillId="7" borderId="6" xfId="0" applyFont="1" applyFill="1" applyBorder="1"/>
    <xf numFmtId="17" fontId="0" fillId="0" borderId="0" xfId="0" applyNumberFormat="1"/>
    <xf numFmtId="0" fontId="4" fillId="0" borderId="0" xfId="0" applyFont="1"/>
    <xf numFmtId="16" fontId="0" fillId="0" borderId="0" xfId="0" applyNumberFormat="1"/>
    <xf numFmtId="2" fontId="0" fillId="0" borderId="0" xfId="0" applyNumberFormat="1"/>
    <xf numFmtId="0" fontId="2" fillId="0" borderId="7" xfId="0" applyFont="1" applyBorder="1"/>
    <xf numFmtId="165" fontId="0" fillId="0" borderId="8" xfId="0" applyNumberFormat="1" applyBorder="1"/>
    <xf numFmtId="166" fontId="0" fillId="0" borderId="8" xfId="0" applyNumberFormat="1" applyBorder="1"/>
    <xf numFmtId="0" fontId="0" fillId="0" borderId="9" xfId="0" applyBorder="1"/>
    <xf numFmtId="16" fontId="0" fillId="0" borderId="9" xfId="0" applyNumberFormat="1" applyBorder="1"/>
    <xf numFmtId="0" fontId="0" fillId="0" borderId="10" xfId="0" applyBorder="1"/>
    <xf numFmtId="164" fontId="0" fillId="0" borderId="10" xfId="0" applyNumberFormat="1" applyBorder="1"/>
    <xf numFmtId="0" fontId="0" fillId="0" borderId="11" xfId="0" applyBorder="1"/>
    <xf numFmtId="0" fontId="0" fillId="0" borderId="12" xfId="0" applyBorder="1"/>
    <xf numFmtId="0" fontId="0" fillId="0" borderId="7" xfId="0" applyFont="1" applyBorder="1"/>
    <xf numFmtId="0" fontId="4" fillId="3" borderId="0" xfId="0" applyFont="1" applyFill="1"/>
    <xf numFmtId="0" fontId="3" fillId="3" borderId="0" xfId="0" applyFont="1" applyFill="1"/>
    <xf numFmtId="0" fontId="4" fillId="4" borderId="0" xfId="0" applyFont="1" applyFill="1"/>
    <xf numFmtId="0" fontId="3" fillId="4" borderId="0" xfId="0" applyFont="1" applyFill="1"/>
    <xf numFmtId="0" fontId="4" fillId="5" borderId="0" xfId="0" applyFont="1" applyFill="1"/>
    <xf numFmtId="0" fontId="4" fillId="7" borderId="0" xfId="0" applyFont="1" applyFill="1"/>
    <xf numFmtId="0" fontId="0" fillId="7" borderId="0" xfId="0" applyFill="1"/>
    <xf numFmtId="0" fontId="4" fillId="8" borderId="0" xfId="0" applyFont="1" applyFill="1"/>
    <xf numFmtId="0" fontId="0" fillId="8" borderId="0" xfId="0" applyFill="1"/>
    <xf numFmtId="0" fontId="2" fillId="3" borderId="0" xfId="0" applyFont="1" applyFill="1"/>
    <xf numFmtId="0" fontId="2" fillId="4" borderId="0" xfId="0" applyFont="1" applyFill="1"/>
    <xf numFmtId="0" fontId="2" fillId="5" borderId="0" xfId="0" applyFont="1" applyFill="1"/>
    <xf numFmtId="0" fontId="2" fillId="8" borderId="0" xfId="0" applyFont="1" applyFill="1"/>
    <xf numFmtId="0" fontId="0" fillId="0" borderId="13" xfId="0" applyBorder="1"/>
    <xf numFmtId="0" fontId="6" fillId="0" borderId="0" xfId="0" applyFont="1"/>
    <xf numFmtId="0" fontId="7" fillId="0" borderId="0" xfId="0" applyFont="1"/>
    <xf numFmtId="0" fontId="0" fillId="9" borderId="0" xfId="0" applyFill="1"/>
    <xf numFmtId="0" fontId="7" fillId="10" borderId="0" xfId="0" applyFont="1" applyFill="1"/>
    <xf numFmtId="0" fontId="5" fillId="9" borderId="0" xfId="0" applyFont="1" applyFill="1"/>
    <xf numFmtId="0" fontId="5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6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5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externalLink" Target="externalLinks/externalLink5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9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8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7.xml"/><Relationship Id="rId27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0.xml"/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1.xml"/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2.xml"/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3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4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5.xml"/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6.xml"/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7.xml"/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8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9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0.xml"/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1.xml"/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2.xml"/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3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4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6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7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8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9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Mg - outlet (reactor A) 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A4F9FF"/>
              </a:solidFill>
              <a:ln w="9525">
                <a:noFill/>
              </a:ln>
              <a:effectLst/>
            </c:spPr>
          </c:marker>
          <c:xVal>
            <c:numRef>
              <c:f>'[1]SOLUTION COMP'!$D$15:$D$29</c:f>
              <c:numCache>
                <c:formatCode>General</c:formatCode>
                <c:ptCount val="15"/>
                <c:pt idx="0">
                  <c:v>0.5</c:v>
                </c:pt>
                <c:pt idx="1">
                  <c:v>3.5</c:v>
                </c:pt>
                <c:pt idx="2">
                  <c:v>6.5</c:v>
                </c:pt>
                <c:pt idx="3">
                  <c:v>9.5</c:v>
                </c:pt>
                <c:pt idx="4">
                  <c:v>27.5</c:v>
                </c:pt>
                <c:pt idx="5">
                  <c:v>51.75</c:v>
                </c:pt>
                <c:pt idx="6">
                  <c:v>54.25</c:v>
                </c:pt>
                <c:pt idx="7">
                  <c:v>56.833333333333336</c:v>
                </c:pt>
                <c:pt idx="8">
                  <c:v>75.25</c:v>
                </c:pt>
                <c:pt idx="9">
                  <c:v>77.75</c:v>
                </c:pt>
                <c:pt idx="10">
                  <c:v>80.333333333333329</c:v>
                </c:pt>
                <c:pt idx="11">
                  <c:v>96.25</c:v>
                </c:pt>
                <c:pt idx="12">
                  <c:v>100.16666666666667</c:v>
                </c:pt>
                <c:pt idx="13">
                  <c:v>103.08333333333334</c:v>
                </c:pt>
                <c:pt idx="14">
                  <c:v>106.25000000000001</c:v>
                </c:pt>
              </c:numCache>
            </c:numRef>
          </c:xVal>
          <c:yVal>
            <c:numRef>
              <c:f>'[1]SOLUTION COMP'!$R$15:$R$29</c:f>
              <c:numCache>
                <c:formatCode>General</c:formatCode>
                <c:ptCount val="15"/>
                <c:pt idx="0">
                  <c:v>1.5782135392127907</c:v>
                </c:pt>
                <c:pt idx="1">
                  <c:v>1.4278678437348102</c:v>
                </c:pt>
                <c:pt idx="2">
                  <c:v>1.4434131065130329</c:v>
                </c:pt>
                <c:pt idx="3">
                  <c:v>1.4478778122047355</c:v>
                </c:pt>
                <c:pt idx="4">
                  <c:v>1.4610620482761527</c:v>
                </c:pt>
                <c:pt idx="5">
                  <c:v>1.4321689783167164</c:v>
                </c:pt>
                <c:pt idx="6">
                  <c:v>1.4134353369987409</c:v>
                </c:pt>
                <c:pt idx="7">
                  <c:v>1.4531966905059208</c:v>
                </c:pt>
                <c:pt idx="8">
                  <c:v>1.4758902380579482</c:v>
                </c:pt>
                <c:pt idx="9">
                  <c:v>1.4278238111961916</c:v>
                </c:pt>
                <c:pt idx="10">
                  <c:v>1.4099698344364726</c:v>
                </c:pt>
                <c:pt idx="11">
                  <c:v>1.4122332538408966</c:v>
                </c:pt>
                <c:pt idx="12">
                  <c:v>1.4131602349233578</c:v>
                </c:pt>
                <c:pt idx="13">
                  <c:v>1.4337033111823843</c:v>
                </c:pt>
                <c:pt idx="14">
                  <c:v>1.419795478263332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41F-4EB0-9C85-E1DF968C7034}"/>
            </c:ext>
          </c:extLst>
        </c:ser>
        <c:ser>
          <c:idx val="1"/>
          <c:order val="1"/>
          <c:tx>
            <c:v>Mg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'[1]SOLUTION COMP'!$D$36:$D$39</c:f>
              <c:numCache>
                <c:formatCode>General</c:formatCode>
                <c:ptCount val="4"/>
                <c:pt idx="0">
                  <c:v>0</c:v>
                </c:pt>
                <c:pt idx="1">
                  <c:v>52.166666666666664</c:v>
                </c:pt>
                <c:pt idx="2">
                  <c:v>75.416666666666657</c:v>
                </c:pt>
                <c:pt idx="3">
                  <c:v>100.91666666666666</c:v>
                </c:pt>
              </c:numCache>
            </c:numRef>
          </c:xVal>
          <c:yVal>
            <c:numRef>
              <c:f>'[1]SOLUTION COMP'!$O$36:$O$39</c:f>
              <c:numCache>
                <c:formatCode>General</c:formatCode>
                <c:ptCount val="4"/>
                <c:pt idx="0">
                  <c:v>1.6321552630714335</c:v>
                </c:pt>
                <c:pt idx="1">
                  <c:v>1.639708487671653</c:v>
                </c:pt>
                <c:pt idx="2">
                  <c:v>1.6151403080316387</c:v>
                </c:pt>
                <c:pt idx="3">
                  <c:v>1.5963811622993345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41F-4EB0-9C85-E1DF968C7034}"/>
            </c:ext>
          </c:extLst>
        </c:ser>
        <c:ser>
          <c:idx val="2"/>
          <c:order val="2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'[1]SOLUTION COMP'!$D$56:$D$70</c:f>
              <c:numCache>
                <c:formatCode>General</c:formatCode>
                <c:ptCount val="15"/>
                <c:pt idx="0">
                  <c:v>0.5</c:v>
                </c:pt>
                <c:pt idx="1">
                  <c:v>3.5</c:v>
                </c:pt>
                <c:pt idx="2">
                  <c:v>6.5</c:v>
                </c:pt>
                <c:pt idx="3">
                  <c:v>9.5</c:v>
                </c:pt>
                <c:pt idx="4">
                  <c:v>27.5</c:v>
                </c:pt>
                <c:pt idx="5">
                  <c:v>51.75</c:v>
                </c:pt>
                <c:pt idx="6">
                  <c:v>54.25</c:v>
                </c:pt>
                <c:pt idx="7">
                  <c:v>56.833333333333336</c:v>
                </c:pt>
                <c:pt idx="8">
                  <c:v>75.25</c:v>
                </c:pt>
                <c:pt idx="9">
                  <c:v>77.75</c:v>
                </c:pt>
                <c:pt idx="10">
                  <c:v>80.333333333333329</c:v>
                </c:pt>
                <c:pt idx="11">
                  <c:v>96.25</c:v>
                </c:pt>
                <c:pt idx="12">
                  <c:v>100.16666666666667</c:v>
                </c:pt>
                <c:pt idx="13">
                  <c:v>103.08333333333334</c:v>
                </c:pt>
                <c:pt idx="14">
                  <c:v>106.25000000000001</c:v>
                </c:pt>
              </c:numCache>
            </c:numRef>
          </c:xVal>
          <c:yVal>
            <c:numRef>
              <c:f>'[1]SOLUTION COMP'!$R$56:$R$70</c:f>
              <c:numCache>
                <c:formatCode>General</c:formatCode>
                <c:ptCount val="15"/>
                <c:pt idx="0">
                  <c:v>1.4942984079743513</c:v>
                </c:pt>
                <c:pt idx="1">
                  <c:v>1.5764876056325319</c:v>
                </c:pt>
                <c:pt idx="2">
                  <c:v>1.4292849828491108</c:v>
                </c:pt>
                <c:pt idx="3">
                  <c:v>1.3634061090543086</c:v>
                </c:pt>
                <c:pt idx="4">
                  <c:v>1.4350049592319944</c:v>
                </c:pt>
                <c:pt idx="5">
                  <c:v>1.4599469810307566</c:v>
                </c:pt>
                <c:pt idx="6">
                  <c:v>1.3955179267884041</c:v>
                </c:pt>
                <c:pt idx="7">
                  <c:v>1.4202204278405974</c:v>
                </c:pt>
                <c:pt idx="8">
                  <c:v>1.4683393806394986</c:v>
                </c:pt>
                <c:pt idx="9">
                  <c:v>1.4077319190472126</c:v>
                </c:pt>
                <c:pt idx="10">
                  <c:v>1.3818424489119379</c:v>
                </c:pt>
                <c:pt idx="11">
                  <c:v>1.4247162254155379</c:v>
                </c:pt>
                <c:pt idx="12">
                  <c:v>1.403490402228059</c:v>
                </c:pt>
                <c:pt idx="13">
                  <c:v>1.4381794738648257</c:v>
                </c:pt>
                <c:pt idx="14">
                  <c:v>1.4682038285021952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41F-4EB0-9C85-E1DF968C7034}"/>
            </c:ext>
          </c:extLst>
        </c:ser>
        <c:ser>
          <c:idx val="3"/>
          <c:order val="3"/>
          <c:tx>
            <c:v>Mg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'[1]SOLUTION COMP'!$D$77:$D$81</c:f>
              <c:numCache>
                <c:formatCode>General</c:formatCode>
                <c:ptCount val="5"/>
              </c:numCache>
            </c:numRef>
          </c:xVal>
          <c:yVal>
            <c:numRef>
              <c:f>'[1]SOLUTION COMP'!$O$77:$O$81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A41F-4EB0-9C85-E1DF968C70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Si - outlet (reactor A) 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noFill/>
              </a:ln>
              <a:effectLst/>
            </c:spPr>
          </c:marker>
          <c:xVal>
            <c:numRef>
              <c:f>'[2]SOLUTION COMP'!$D$15:$D$29</c:f>
              <c:numCache>
                <c:formatCode>General</c:formatCode>
                <c:ptCount val="15"/>
                <c:pt idx="0">
                  <c:v>1</c:v>
                </c:pt>
                <c:pt idx="1">
                  <c:v>8</c:v>
                </c:pt>
                <c:pt idx="2">
                  <c:v>23</c:v>
                </c:pt>
                <c:pt idx="3">
                  <c:v>28</c:v>
                </c:pt>
                <c:pt idx="4">
                  <c:v>33</c:v>
                </c:pt>
                <c:pt idx="5">
                  <c:v>47.583333333333336</c:v>
                </c:pt>
                <c:pt idx="6">
                  <c:v>53.833333333333336</c:v>
                </c:pt>
                <c:pt idx="7">
                  <c:v>74.083333333333343</c:v>
                </c:pt>
                <c:pt idx="8">
                  <c:v>98.333333333333343</c:v>
                </c:pt>
                <c:pt idx="9">
                  <c:v>146.08333333333334</c:v>
                </c:pt>
                <c:pt idx="10">
                  <c:v>167.16666666666666</c:v>
                </c:pt>
                <c:pt idx="11">
                  <c:v>171.83333333333331</c:v>
                </c:pt>
                <c:pt idx="12">
                  <c:v>176.83333333333331</c:v>
                </c:pt>
                <c:pt idx="13">
                  <c:v>191</c:v>
                </c:pt>
                <c:pt idx="14">
                  <c:v>195.83333333333334</c:v>
                </c:pt>
              </c:numCache>
            </c:numRef>
          </c:xVal>
          <c:yVal>
            <c:numRef>
              <c:f>'[2]SOLUTION COMP'!$T$15:$T$29</c:f>
              <c:numCache>
                <c:formatCode>General</c:formatCode>
                <c:ptCount val="15"/>
                <c:pt idx="0">
                  <c:v>2.5238817785436409</c:v>
                </c:pt>
                <c:pt idx="1">
                  <c:v>2.3789145284357698</c:v>
                </c:pt>
                <c:pt idx="2">
                  <c:v>2.2837305058683364</c:v>
                </c:pt>
                <c:pt idx="3">
                  <c:v>2.2826092842550869</c:v>
                </c:pt>
                <c:pt idx="4">
                  <c:v>2.2681503233783524</c:v>
                </c:pt>
                <c:pt idx="5">
                  <c:v>2.2454927628962249</c:v>
                </c:pt>
                <c:pt idx="6">
                  <c:v>2.2550518059254334</c:v>
                </c:pt>
                <c:pt idx="7">
                  <c:v>2.3240339428208606E-2</c:v>
                </c:pt>
                <c:pt idx="8">
                  <c:v>2.2399759627855498</c:v>
                </c:pt>
                <c:pt idx="9">
                  <c:v>2.295307437765099</c:v>
                </c:pt>
                <c:pt idx="10">
                  <c:v>2.3004082723035952</c:v>
                </c:pt>
                <c:pt idx="11">
                  <c:v>2.3041868593812906</c:v>
                </c:pt>
                <c:pt idx="12">
                  <c:v>2.3311303066499565</c:v>
                </c:pt>
                <c:pt idx="13">
                  <c:v>2.3000938483787623</c:v>
                </c:pt>
                <c:pt idx="14">
                  <c:v>2.3156599341691826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70-4DF1-A37C-CDA61C5B0BE6}"/>
            </c:ext>
          </c:extLst>
        </c:ser>
        <c:ser>
          <c:idx val="1"/>
          <c:order val="1"/>
          <c:tx>
            <c:v>Si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'[2]SOLUTION COMP'!$D$35:$D$41</c:f>
              <c:numCache>
                <c:formatCode>General</c:formatCode>
                <c:ptCount val="7"/>
                <c:pt idx="0">
                  <c:v>0</c:v>
                </c:pt>
                <c:pt idx="1">
                  <c:v>23.666666666666668</c:v>
                </c:pt>
                <c:pt idx="2">
                  <c:v>49.666666666666671</c:v>
                </c:pt>
                <c:pt idx="3">
                  <c:v>79.333333333333343</c:v>
                </c:pt>
                <c:pt idx="4">
                  <c:v>102.83333333333334</c:v>
                </c:pt>
                <c:pt idx="5">
                  <c:v>151.33333333333334</c:v>
                </c:pt>
                <c:pt idx="6">
                  <c:v>198.83333333333334</c:v>
                </c:pt>
              </c:numCache>
            </c:numRef>
          </c:xVal>
          <c:yVal>
            <c:numRef>
              <c:f>'[2]SOLUTION COMP'!$Q$35:$Q$41</c:f>
              <c:numCache>
                <c:formatCode>General</c:formatCode>
                <c:ptCount val="7"/>
                <c:pt idx="0">
                  <c:v>2.5447003230665128</c:v>
                </c:pt>
                <c:pt idx="1">
                  <c:v>2.500214043612845</c:v>
                </c:pt>
                <c:pt idx="2">
                  <c:v>2.5200612409260779</c:v>
                </c:pt>
                <c:pt idx="3">
                  <c:v>2.5922838325955007</c:v>
                </c:pt>
                <c:pt idx="4">
                  <c:v>2.6021573421230704</c:v>
                </c:pt>
                <c:pt idx="5">
                  <c:v>2.7096391478029296</c:v>
                </c:pt>
                <c:pt idx="6">
                  <c:v>2.7213032787965878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A70-4DF1-A37C-CDA61C5B0B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Mg - outlet (reactor A) 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noFill/>
              </a:ln>
              <a:effectLst/>
            </c:spPr>
          </c:marker>
          <c:xVal>
            <c:numRef>
              <c:f>'[2]SOLUTION COMP'!$D$15:$D$29</c:f>
              <c:numCache>
                <c:formatCode>General</c:formatCode>
                <c:ptCount val="15"/>
                <c:pt idx="0">
                  <c:v>1</c:v>
                </c:pt>
                <c:pt idx="1">
                  <c:v>8</c:v>
                </c:pt>
                <c:pt idx="2">
                  <c:v>23</c:v>
                </c:pt>
                <c:pt idx="3">
                  <c:v>28</c:v>
                </c:pt>
                <c:pt idx="4">
                  <c:v>33</c:v>
                </c:pt>
                <c:pt idx="5">
                  <c:v>47.583333333333336</c:v>
                </c:pt>
                <c:pt idx="6">
                  <c:v>53.833333333333336</c:v>
                </c:pt>
                <c:pt idx="7">
                  <c:v>74.083333333333343</c:v>
                </c:pt>
                <c:pt idx="8">
                  <c:v>98.333333333333343</c:v>
                </c:pt>
                <c:pt idx="9">
                  <c:v>146.08333333333334</c:v>
                </c:pt>
                <c:pt idx="10">
                  <c:v>167.16666666666666</c:v>
                </c:pt>
                <c:pt idx="11">
                  <c:v>171.83333333333331</c:v>
                </c:pt>
                <c:pt idx="12">
                  <c:v>176.83333333333331</c:v>
                </c:pt>
                <c:pt idx="13">
                  <c:v>191</c:v>
                </c:pt>
                <c:pt idx="14">
                  <c:v>195.83333333333334</c:v>
                </c:pt>
              </c:numCache>
            </c:numRef>
          </c:xVal>
          <c:yVal>
            <c:numRef>
              <c:f>'[2]SOLUTION COMP'!$R$15:$R$29</c:f>
              <c:numCache>
                <c:formatCode>General</c:formatCode>
                <c:ptCount val="15"/>
                <c:pt idx="0">
                  <c:v>0.81348032447760066</c:v>
                </c:pt>
                <c:pt idx="1">
                  <c:v>0.7853926572961033</c:v>
                </c:pt>
                <c:pt idx="2">
                  <c:v>0.76680734063494027</c:v>
                </c:pt>
                <c:pt idx="3">
                  <c:v>0.7791188525897409</c:v>
                </c:pt>
                <c:pt idx="4">
                  <c:v>0.76784486261429785</c:v>
                </c:pt>
                <c:pt idx="5">
                  <c:v>0.78854672448857388</c:v>
                </c:pt>
                <c:pt idx="6">
                  <c:v>0.81100821019012448</c:v>
                </c:pt>
                <c:pt idx="7">
                  <c:v>0.84676823699010095</c:v>
                </c:pt>
                <c:pt idx="8">
                  <c:v>0.86269136440971905</c:v>
                </c:pt>
                <c:pt idx="9">
                  <c:v>0.89754145966667553</c:v>
                </c:pt>
                <c:pt idx="10">
                  <c:v>0.72203046961277917</c:v>
                </c:pt>
                <c:pt idx="11">
                  <c:v>0.91175404126011161</c:v>
                </c:pt>
                <c:pt idx="12">
                  <c:v>0.9065106928691794</c:v>
                </c:pt>
                <c:pt idx="13">
                  <c:v>0.90339552177999383</c:v>
                </c:pt>
                <c:pt idx="14">
                  <c:v>0.91619425380102593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34E-459C-B6F5-EE4DC123DC38}"/>
            </c:ext>
          </c:extLst>
        </c:ser>
        <c:ser>
          <c:idx val="1"/>
          <c:order val="1"/>
          <c:tx>
            <c:v>Mg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'[2]SOLUTION COMP'!$D$35:$D$41</c:f>
              <c:numCache>
                <c:formatCode>General</c:formatCode>
                <c:ptCount val="7"/>
                <c:pt idx="0">
                  <c:v>0</c:v>
                </c:pt>
                <c:pt idx="1">
                  <c:v>23.666666666666668</c:v>
                </c:pt>
                <c:pt idx="2">
                  <c:v>49.666666666666671</c:v>
                </c:pt>
                <c:pt idx="3">
                  <c:v>79.333333333333343</c:v>
                </c:pt>
                <c:pt idx="4">
                  <c:v>102.83333333333334</c:v>
                </c:pt>
                <c:pt idx="5">
                  <c:v>151.33333333333334</c:v>
                </c:pt>
                <c:pt idx="6">
                  <c:v>198.83333333333334</c:v>
                </c:pt>
              </c:numCache>
            </c:numRef>
          </c:xVal>
          <c:yVal>
            <c:numRef>
              <c:f>'[2]SOLUTION COMP'!$O$35:$O$41</c:f>
              <c:numCache>
                <c:formatCode>General</c:formatCode>
                <c:ptCount val="7"/>
                <c:pt idx="0">
                  <c:v>0.74489778590758549</c:v>
                </c:pt>
                <c:pt idx="1">
                  <c:v>1.1156568804064952</c:v>
                </c:pt>
                <c:pt idx="2">
                  <c:v>3.6546310243412282E-2</c:v>
                </c:pt>
                <c:pt idx="3">
                  <c:v>1.2782791237375499</c:v>
                </c:pt>
                <c:pt idx="4">
                  <c:v>1.1654195371510607</c:v>
                </c:pt>
                <c:pt idx="5">
                  <c:v>1.1530893937957947</c:v>
                </c:pt>
                <c:pt idx="6">
                  <c:v>1.2113270993455956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34E-459C-B6F5-EE4DC123DC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2"/>
          <c:order val="0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'[2]SOLUTION COMP'!$D$58:$D$72</c:f>
              <c:numCache>
                <c:formatCode>General</c:formatCode>
                <c:ptCount val="15"/>
                <c:pt idx="0">
                  <c:v>1</c:v>
                </c:pt>
                <c:pt idx="1">
                  <c:v>8</c:v>
                </c:pt>
                <c:pt idx="2">
                  <c:v>23</c:v>
                </c:pt>
                <c:pt idx="3">
                  <c:v>28</c:v>
                </c:pt>
                <c:pt idx="4">
                  <c:v>33</c:v>
                </c:pt>
                <c:pt idx="5">
                  <c:v>47.583333333333336</c:v>
                </c:pt>
                <c:pt idx="6">
                  <c:v>53.833333333333336</c:v>
                </c:pt>
                <c:pt idx="7">
                  <c:v>74.083333333333343</c:v>
                </c:pt>
                <c:pt idx="8">
                  <c:v>98.333333333333343</c:v>
                </c:pt>
                <c:pt idx="9">
                  <c:v>146.08333333333334</c:v>
                </c:pt>
                <c:pt idx="10">
                  <c:v>167.16666666666666</c:v>
                </c:pt>
                <c:pt idx="11">
                  <c:v>171.83333333333331</c:v>
                </c:pt>
                <c:pt idx="12">
                  <c:v>176.83333333333331</c:v>
                </c:pt>
                <c:pt idx="13">
                  <c:v>191</c:v>
                </c:pt>
                <c:pt idx="14">
                  <c:v>195.83333333333334</c:v>
                </c:pt>
              </c:numCache>
            </c:numRef>
          </c:xVal>
          <c:yVal>
            <c:numRef>
              <c:f>'[2]SOLUTION COMP'!$R$58:$R$72</c:f>
              <c:numCache>
                <c:formatCode>General</c:formatCode>
                <c:ptCount val="15"/>
                <c:pt idx="0">
                  <c:v>0.93545378487647601</c:v>
                </c:pt>
                <c:pt idx="1">
                  <c:v>0.91783394371644356</c:v>
                </c:pt>
                <c:pt idx="2">
                  <c:v>0.88151873541904391</c:v>
                </c:pt>
                <c:pt idx="3">
                  <c:v>0.86167259733157642</c:v>
                </c:pt>
                <c:pt idx="4">
                  <c:v>0.87856358259968814</c:v>
                </c:pt>
                <c:pt idx="5">
                  <c:v>0.84648937059933904</c:v>
                </c:pt>
                <c:pt idx="6">
                  <c:v>0.87698219992577431</c:v>
                </c:pt>
                <c:pt idx="7">
                  <c:v>0.88128764033428708</c:v>
                </c:pt>
                <c:pt idx="8">
                  <c:v>0.87882055555204464</c:v>
                </c:pt>
                <c:pt idx="9">
                  <c:v>0.90476596805361764</c:v>
                </c:pt>
                <c:pt idx="10">
                  <c:v>0.88729328096673443</c:v>
                </c:pt>
                <c:pt idx="11">
                  <c:v>0.91930008652240425</c:v>
                </c:pt>
                <c:pt idx="12">
                  <c:v>0.91725556165679467</c:v>
                </c:pt>
                <c:pt idx="13">
                  <c:v>0.91681760475911456</c:v>
                </c:pt>
                <c:pt idx="14">
                  <c:v>0.91404826283315999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86A-44C2-9422-6FA5BE0F2364}"/>
            </c:ext>
          </c:extLst>
        </c:ser>
        <c:ser>
          <c:idx val="3"/>
          <c:order val="1"/>
          <c:tx>
            <c:v>Mg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'[2]SOLUTION COMP'!$D$35:$D$41</c:f>
              <c:numCache>
                <c:formatCode>General</c:formatCode>
                <c:ptCount val="7"/>
                <c:pt idx="0">
                  <c:v>0</c:v>
                </c:pt>
                <c:pt idx="1">
                  <c:v>23.666666666666668</c:v>
                </c:pt>
                <c:pt idx="2">
                  <c:v>49.666666666666671</c:v>
                </c:pt>
                <c:pt idx="3">
                  <c:v>79.333333333333343</c:v>
                </c:pt>
                <c:pt idx="4">
                  <c:v>102.83333333333334</c:v>
                </c:pt>
                <c:pt idx="5">
                  <c:v>151.33333333333334</c:v>
                </c:pt>
                <c:pt idx="6">
                  <c:v>198.83333333333334</c:v>
                </c:pt>
              </c:numCache>
            </c:numRef>
          </c:xVal>
          <c:yVal>
            <c:numRef>
              <c:f>'[2]SOLUTION COMP'!$O$35:$O$41</c:f>
              <c:numCache>
                <c:formatCode>General</c:formatCode>
                <c:ptCount val="7"/>
                <c:pt idx="0">
                  <c:v>0.74489778590758549</c:v>
                </c:pt>
                <c:pt idx="1">
                  <c:v>1.1156568804064952</c:v>
                </c:pt>
                <c:pt idx="2">
                  <c:v>3.6546310243412282E-2</c:v>
                </c:pt>
                <c:pt idx="3">
                  <c:v>1.2782791237375499</c:v>
                </c:pt>
                <c:pt idx="4">
                  <c:v>1.1654195371510607</c:v>
                </c:pt>
                <c:pt idx="5">
                  <c:v>1.1530893937957947</c:v>
                </c:pt>
                <c:pt idx="6">
                  <c:v>1.2113270993455956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86A-44C2-9422-6FA5BE0F2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48739391787244"/>
          <c:y val="9.6803636662920203E-2"/>
          <c:w val="0.5698299632166649"/>
          <c:h val="0.73587951781264604"/>
        </c:manualLayout>
      </c:layout>
      <c:scatterChart>
        <c:scatterStyle val="lineMarker"/>
        <c:varyColors val="0"/>
        <c:ser>
          <c:idx val="1"/>
          <c:order val="0"/>
          <c:tx>
            <c:v>Mg - inlet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[3]Sheet1!$D$31:$D$33</c:f>
              <c:numCache>
                <c:formatCode>General</c:formatCode>
                <c:ptCount val="3"/>
                <c:pt idx="0">
                  <c:v>0</c:v>
                </c:pt>
                <c:pt idx="1">
                  <c:v>124.5</c:v>
                </c:pt>
                <c:pt idx="2">
                  <c:v>144</c:v>
                </c:pt>
              </c:numCache>
            </c:numRef>
          </c:xVal>
          <c:yVal>
            <c:numRef>
              <c:f>[3]Sheet1!$O$31:$O$33</c:f>
              <c:numCache>
                <c:formatCode>General</c:formatCode>
                <c:ptCount val="3"/>
                <c:pt idx="0">
                  <c:v>1.2081597111329854</c:v>
                </c:pt>
                <c:pt idx="1">
                  <c:v>1.2730140258249478</c:v>
                </c:pt>
                <c:pt idx="2">
                  <c:v>1.3724251297905239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F2-4CC5-A019-1892A8CB9E7A}"/>
            </c:ext>
          </c:extLst>
        </c:ser>
        <c:ser>
          <c:idx val="0"/>
          <c:order val="1"/>
          <c:tx>
            <c:v>Mg - outlet (reactor A) 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A4F9FF"/>
              </a:solidFill>
              <a:ln w="9525">
                <a:noFill/>
              </a:ln>
              <a:effectLst/>
            </c:spPr>
          </c:marker>
          <c:xVal>
            <c:numRef>
              <c:f>[3]Sheet1!$D$15:$D$26</c:f>
              <c:numCache>
                <c:formatCode>General</c:formatCode>
                <c:ptCount val="12"/>
                <c:pt idx="0">
                  <c:v>0.75</c:v>
                </c:pt>
                <c:pt idx="1">
                  <c:v>18.5</c:v>
                </c:pt>
                <c:pt idx="2">
                  <c:v>24.25</c:v>
                </c:pt>
                <c:pt idx="3">
                  <c:v>43.416666666666664</c:v>
                </c:pt>
                <c:pt idx="4">
                  <c:v>49.666666666666664</c:v>
                </c:pt>
                <c:pt idx="5">
                  <c:v>67.916666666666657</c:v>
                </c:pt>
                <c:pt idx="6">
                  <c:v>74.499999999999986</c:v>
                </c:pt>
                <c:pt idx="7">
                  <c:v>88.999999999999986</c:v>
                </c:pt>
                <c:pt idx="8">
                  <c:v>95.916666666666657</c:v>
                </c:pt>
                <c:pt idx="9">
                  <c:v>113.24999999999999</c:v>
                </c:pt>
                <c:pt idx="10">
                  <c:v>121.74999999999999</c:v>
                </c:pt>
                <c:pt idx="11">
                  <c:v>137.08333333333334</c:v>
                </c:pt>
              </c:numCache>
            </c:numRef>
          </c:xVal>
          <c:yVal>
            <c:numRef>
              <c:f>[3]Sheet1!$S$15:$S$26</c:f>
              <c:numCache>
                <c:formatCode>General</c:formatCode>
                <c:ptCount val="12"/>
                <c:pt idx="0">
                  <c:v>1.0443972108812147</c:v>
                </c:pt>
                <c:pt idx="1">
                  <c:v>1.0507171761013328</c:v>
                </c:pt>
                <c:pt idx="2">
                  <c:v>1.0720610433551325</c:v>
                </c:pt>
                <c:pt idx="3">
                  <c:v>1.0779449520908888</c:v>
                </c:pt>
                <c:pt idx="4">
                  <c:v>1.0606152920410274</c:v>
                </c:pt>
                <c:pt idx="5">
                  <c:v>1.0477425257930915</c:v>
                </c:pt>
                <c:pt idx="7">
                  <c:v>1.0189607656763973</c:v>
                </c:pt>
                <c:pt idx="8">
                  <c:v>1.021448235631619</c:v>
                </c:pt>
                <c:pt idx="9">
                  <c:v>1.0024526863912178</c:v>
                </c:pt>
                <c:pt idx="11">
                  <c:v>0.98845841205853624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F2-4CC5-A019-1892A8CB9E7A}"/>
            </c:ext>
          </c:extLst>
        </c:ser>
        <c:ser>
          <c:idx val="2"/>
          <c:order val="2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[3]Sheet1!$D$50:$D$61</c:f>
              <c:numCache>
                <c:formatCode>General</c:formatCode>
                <c:ptCount val="12"/>
                <c:pt idx="0">
                  <c:v>0.75</c:v>
                </c:pt>
                <c:pt idx="1">
                  <c:v>18.5</c:v>
                </c:pt>
                <c:pt idx="2">
                  <c:v>24.25</c:v>
                </c:pt>
                <c:pt idx="3">
                  <c:v>43.416666666666664</c:v>
                </c:pt>
                <c:pt idx="4">
                  <c:v>49.666666666666664</c:v>
                </c:pt>
                <c:pt idx="5">
                  <c:v>67.916666666666657</c:v>
                </c:pt>
                <c:pt idx="6">
                  <c:v>74.499999999999986</c:v>
                </c:pt>
                <c:pt idx="7">
                  <c:v>88.999999999999986</c:v>
                </c:pt>
                <c:pt idx="8">
                  <c:v>95.916666666666657</c:v>
                </c:pt>
                <c:pt idx="9">
                  <c:v>113.24999999999999</c:v>
                </c:pt>
                <c:pt idx="10">
                  <c:v>121.74999999999999</c:v>
                </c:pt>
                <c:pt idx="11">
                  <c:v>137.08333333333334</c:v>
                </c:pt>
              </c:numCache>
            </c:numRef>
          </c:xVal>
          <c:yVal>
            <c:numRef>
              <c:f>[3]Sheet1!$S$50:$S$61</c:f>
              <c:numCache>
                <c:formatCode>General</c:formatCode>
                <c:ptCount val="12"/>
                <c:pt idx="0">
                  <c:v>1.0638033828342366</c:v>
                </c:pt>
                <c:pt idx="1">
                  <c:v>1.0458324830840011</c:v>
                </c:pt>
                <c:pt idx="2">
                  <c:v>1.0790757653928154</c:v>
                </c:pt>
                <c:pt idx="3">
                  <c:v>1.0345496778725425</c:v>
                </c:pt>
                <c:pt idx="5">
                  <c:v>1.0020103285197501</c:v>
                </c:pt>
                <c:pt idx="6">
                  <c:v>0.9898287956363484</c:v>
                </c:pt>
                <c:pt idx="7">
                  <c:v>0.97247465276440626</c:v>
                </c:pt>
                <c:pt idx="8">
                  <c:v>1.0198734846541304</c:v>
                </c:pt>
                <c:pt idx="9">
                  <c:v>0.97976873687198018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2F2-4CC5-A019-1892A8CB9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2"/>
          <c:order val="0"/>
          <c:tx>
            <c:v>Si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'[4]SOLUTION COMP'!$D$52:$D$64</c:f>
              <c:numCache>
                <c:formatCode>General</c:formatCode>
                <c:ptCount val="13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  <c:pt idx="11">
                  <c:v>200.16666666666669</c:v>
                </c:pt>
                <c:pt idx="12">
                  <c:v>213.75000000000003</c:v>
                </c:pt>
              </c:numCache>
            </c:numRef>
          </c:xVal>
          <c:yVal>
            <c:numRef>
              <c:f>'[4]SOLUTION COMP'!$T$52:$T$64</c:f>
              <c:numCache>
                <c:formatCode>General</c:formatCode>
                <c:ptCount val="13"/>
                <c:pt idx="0">
                  <c:v>2.5485583046462019</c:v>
                </c:pt>
                <c:pt idx="1">
                  <c:v>2.467036537682199</c:v>
                </c:pt>
                <c:pt idx="2">
                  <c:v>2.3571554152961611</c:v>
                </c:pt>
                <c:pt idx="3">
                  <c:v>2.4035007586783514</c:v>
                </c:pt>
                <c:pt idx="4">
                  <c:v>2.3752204014955778</c:v>
                </c:pt>
                <c:pt idx="5">
                  <c:v>2.3934749728672275</c:v>
                </c:pt>
                <c:pt idx="6">
                  <c:v>2.3204251817249131</c:v>
                </c:pt>
                <c:pt idx="7">
                  <c:v>2.3988427832657231</c:v>
                </c:pt>
                <c:pt idx="8">
                  <c:v>2.3725074763703042</c:v>
                </c:pt>
                <c:pt idx="9">
                  <c:v>2.3889912244200717</c:v>
                </c:pt>
                <c:pt idx="10">
                  <c:v>2.4237683089214377</c:v>
                </c:pt>
                <c:pt idx="11">
                  <c:v>2.3837623786386364</c:v>
                </c:pt>
                <c:pt idx="12">
                  <c:v>2.4208771968501166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BE7-4192-8D05-1385CA2125CD}"/>
            </c:ext>
          </c:extLst>
        </c:ser>
        <c:ser>
          <c:idx val="3"/>
          <c:order val="1"/>
          <c:tx>
            <c:v>Si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'[4]SOLUTION COMP'!$D$31:$D$35</c:f>
              <c:numCache>
                <c:formatCode>General</c:formatCode>
                <c:ptCount val="5"/>
                <c:pt idx="0">
                  <c:v>0</c:v>
                </c:pt>
                <c:pt idx="1">
                  <c:v>71.916666666666671</c:v>
                </c:pt>
                <c:pt idx="2">
                  <c:v>97.916666666666671</c:v>
                </c:pt>
                <c:pt idx="3">
                  <c:v>191.66666666666669</c:v>
                </c:pt>
                <c:pt idx="4">
                  <c:v>216.66666666666669</c:v>
                </c:pt>
              </c:numCache>
            </c:numRef>
          </c:xVal>
          <c:yVal>
            <c:numRef>
              <c:f>'[4]SOLUTION COMP'!$Q$31:$Q$35</c:f>
              <c:numCache>
                <c:formatCode>General</c:formatCode>
                <c:ptCount val="5"/>
                <c:pt idx="0">
                  <c:v>2.6412825565912117</c:v>
                </c:pt>
                <c:pt idx="1">
                  <c:v>2.6640807218282605</c:v>
                </c:pt>
                <c:pt idx="2">
                  <c:v>2.6599725284320366</c:v>
                </c:pt>
                <c:pt idx="3">
                  <c:v>2.7171016657486002</c:v>
                </c:pt>
                <c:pt idx="4">
                  <c:v>2.7403290591177574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BE7-4192-8D05-1385CA2125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Si - outlet (reactor A) 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noFill/>
              </a:ln>
              <a:effectLst/>
            </c:spPr>
          </c:marker>
          <c:xVal>
            <c:numRef>
              <c:f>'[4]SOLUTION COMP'!$D$15:$D$25</c:f>
              <c:numCache>
                <c:formatCode>General</c:formatCode>
                <c:ptCount val="11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</c:numCache>
            </c:numRef>
          </c:xVal>
          <c:yVal>
            <c:numRef>
              <c:f>'[4]SOLUTION COMP'!$T$15:$T$25</c:f>
              <c:numCache>
                <c:formatCode>General</c:formatCode>
                <c:ptCount val="11"/>
                <c:pt idx="0">
                  <c:v>2.6364315912117178</c:v>
                </c:pt>
                <c:pt idx="1">
                  <c:v>2.4778863810001965</c:v>
                </c:pt>
                <c:pt idx="2">
                  <c:v>2.3932615553989018</c:v>
                </c:pt>
                <c:pt idx="3">
                  <c:v>2.4040521970705728</c:v>
                </c:pt>
                <c:pt idx="4">
                  <c:v>2.352841603028192</c:v>
                </c:pt>
                <c:pt idx="5">
                  <c:v>2.3879731654090848</c:v>
                </c:pt>
                <c:pt idx="6">
                  <c:v>2.4123375305092876</c:v>
                </c:pt>
                <c:pt idx="7">
                  <c:v>2.3777318745523019</c:v>
                </c:pt>
                <c:pt idx="8">
                  <c:v>2.3833178671651698</c:v>
                </c:pt>
                <c:pt idx="9">
                  <c:v>2.4236165658902884</c:v>
                </c:pt>
                <c:pt idx="10">
                  <c:v>2.4453959572055743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13-43BD-94E8-DC6BCEAD0BCD}"/>
            </c:ext>
          </c:extLst>
        </c:ser>
        <c:ser>
          <c:idx val="1"/>
          <c:order val="1"/>
          <c:tx>
            <c:v>Si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'[4]SOLUTION COMP'!$D$31:$D$35</c:f>
              <c:numCache>
                <c:formatCode>General</c:formatCode>
                <c:ptCount val="5"/>
                <c:pt idx="0">
                  <c:v>0</c:v>
                </c:pt>
                <c:pt idx="1">
                  <c:v>71.916666666666671</c:v>
                </c:pt>
                <c:pt idx="2">
                  <c:v>97.916666666666671</c:v>
                </c:pt>
                <c:pt idx="3">
                  <c:v>191.66666666666669</c:v>
                </c:pt>
                <c:pt idx="4">
                  <c:v>216.66666666666669</c:v>
                </c:pt>
              </c:numCache>
            </c:numRef>
          </c:xVal>
          <c:yVal>
            <c:numRef>
              <c:f>'[4]SOLUTION COMP'!$Q$31:$Q$35</c:f>
              <c:numCache>
                <c:formatCode>General</c:formatCode>
                <c:ptCount val="5"/>
                <c:pt idx="0">
                  <c:v>2.6412825565912117</c:v>
                </c:pt>
                <c:pt idx="1">
                  <c:v>2.6640807218282605</c:v>
                </c:pt>
                <c:pt idx="2">
                  <c:v>2.6599725284320366</c:v>
                </c:pt>
                <c:pt idx="3">
                  <c:v>2.7171016657486002</c:v>
                </c:pt>
                <c:pt idx="4">
                  <c:v>2.7403290591177574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13-43BD-94E8-DC6BCEAD0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Mg - outlet (reactor A) 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noFill/>
              </a:ln>
              <a:effectLst/>
            </c:spPr>
          </c:marker>
          <c:xVal>
            <c:numRef>
              <c:f>'[4]SOLUTION COMP'!$D$15:$D$25</c:f>
              <c:numCache>
                <c:formatCode>General</c:formatCode>
                <c:ptCount val="11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</c:numCache>
            </c:numRef>
          </c:xVal>
          <c:yVal>
            <c:numRef>
              <c:f>'[4]SOLUTION COMP'!$R$15:$R$25</c:f>
              <c:numCache>
                <c:formatCode>General</c:formatCode>
                <c:ptCount val="11"/>
                <c:pt idx="0">
                  <c:v>1.631582085771887</c:v>
                </c:pt>
                <c:pt idx="1">
                  <c:v>1.5252600257818758</c:v>
                </c:pt>
                <c:pt idx="2">
                  <c:v>1.5295361867782797</c:v>
                </c:pt>
                <c:pt idx="3">
                  <c:v>1.5186307214315153</c:v>
                </c:pt>
                <c:pt idx="4">
                  <c:v>1.4893057093947073</c:v>
                </c:pt>
                <c:pt idx="5">
                  <c:v>1.4997715022347715</c:v>
                </c:pt>
                <c:pt idx="6">
                  <c:v>1.5098829240051659</c:v>
                </c:pt>
                <c:pt idx="7">
                  <c:v>1.5357903230401417</c:v>
                </c:pt>
                <c:pt idx="8">
                  <c:v>1.5407552461064027</c:v>
                </c:pt>
                <c:pt idx="9">
                  <c:v>1.5659342462694297</c:v>
                </c:pt>
                <c:pt idx="10">
                  <c:v>1.5499032996421847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C9-46FC-9EF1-AE7ED4B15838}"/>
            </c:ext>
          </c:extLst>
        </c:ser>
        <c:ser>
          <c:idx val="1"/>
          <c:order val="1"/>
          <c:tx>
            <c:v>Mg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'[4]SOLUTION COMP'!$D$31:$D$35</c:f>
              <c:numCache>
                <c:formatCode>General</c:formatCode>
                <c:ptCount val="5"/>
                <c:pt idx="0">
                  <c:v>0</c:v>
                </c:pt>
                <c:pt idx="1">
                  <c:v>71.916666666666671</c:v>
                </c:pt>
                <c:pt idx="2">
                  <c:v>97.916666666666671</c:v>
                </c:pt>
                <c:pt idx="3">
                  <c:v>191.66666666666669</c:v>
                </c:pt>
                <c:pt idx="4">
                  <c:v>216.66666666666669</c:v>
                </c:pt>
              </c:numCache>
            </c:numRef>
          </c:xVal>
          <c:yVal>
            <c:numRef>
              <c:f>'[4]SOLUTION COMP'!$O$31:$O$35</c:f>
              <c:numCache>
                <c:formatCode>General</c:formatCode>
                <c:ptCount val="5"/>
                <c:pt idx="0">
                  <c:v>1.675033360012075</c:v>
                </c:pt>
                <c:pt idx="1">
                  <c:v>1.683793437120497</c:v>
                </c:pt>
                <c:pt idx="2">
                  <c:v>1.7438265780826612</c:v>
                </c:pt>
                <c:pt idx="3">
                  <c:v>1.7580818472784026</c:v>
                </c:pt>
                <c:pt idx="4">
                  <c:v>1.7810025495789554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C9-46FC-9EF1-AE7ED4B158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2"/>
          <c:order val="0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'[4]SOLUTION COMP'!$D$52:$D$64</c:f>
              <c:numCache>
                <c:formatCode>General</c:formatCode>
                <c:ptCount val="13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  <c:pt idx="11">
                  <c:v>200.16666666666669</c:v>
                </c:pt>
                <c:pt idx="12">
                  <c:v>213.75000000000003</c:v>
                </c:pt>
              </c:numCache>
            </c:numRef>
          </c:xVal>
          <c:yVal>
            <c:numRef>
              <c:f>'[4]SOLUTION COMP'!$R$52:$R$64</c:f>
              <c:numCache>
                <c:formatCode>General</c:formatCode>
                <c:ptCount val="13"/>
                <c:pt idx="0">
                  <c:v>1.5822571062764685</c:v>
                </c:pt>
                <c:pt idx="1">
                  <c:v>1.5385274186201316</c:v>
                </c:pt>
                <c:pt idx="2">
                  <c:v>1.5036658028942806</c:v>
                </c:pt>
                <c:pt idx="3">
                  <c:v>1.5015800004760618</c:v>
                </c:pt>
                <c:pt idx="4">
                  <c:v>1.4948511677545948</c:v>
                </c:pt>
                <c:pt idx="5">
                  <c:v>1.4725760501407688</c:v>
                </c:pt>
                <c:pt idx="6">
                  <c:v>1.496744923185211</c:v>
                </c:pt>
                <c:pt idx="7">
                  <c:v>1.5400918221004785</c:v>
                </c:pt>
                <c:pt idx="8">
                  <c:v>1.5225206069259072</c:v>
                </c:pt>
                <c:pt idx="9">
                  <c:v>1.5356916456991523</c:v>
                </c:pt>
                <c:pt idx="10">
                  <c:v>1.5368305748584736</c:v>
                </c:pt>
                <c:pt idx="11">
                  <c:v>1.5306968006004222</c:v>
                </c:pt>
                <c:pt idx="12">
                  <c:v>1.5312139186676985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921-434E-A71D-23333D193C7A}"/>
            </c:ext>
          </c:extLst>
        </c:ser>
        <c:ser>
          <c:idx val="3"/>
          <c:order val="1"/>
          <c:tx>
            <c:v>Mg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'SOLUTION COMP'!#REF!</c:f>
            </c:numRef>
          </c:xVal>
          <c:yVal>
            <c:numRef>
              <c:f>'SOLUTION COMP'!#REF!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921-434E-A71D-23333D193C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48739391787244"/>
          <c:y val="9.6803636662920203E-2"/>
          <c:w val="0.5698299632166649"/>
          <c:h val="0.73587951781264604"/>
        </c:manualLayout>
      </c:layout>
      <c:scatterChart>
        <c:scatterStyle val="lineMarker"/>
        <c:varyColors val="0"/>
        <c:ser>
          <c:idx val="1"/>
          <c:order val="0"/>
          <c:tx>
            <c:v>Mg - inlet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[3]Sheet1!$D$31:$D$33</c:f>
              <c:numCache>
                <c:formatCode>General</c:formatCode>
                <c:ptCount val="3"/>
                <c:pt idx="0">
                  <c:v>0</c:v>
                </c:pt>
                <c:pt idx="1">
                  <c:v>124.5</c:v>
                </c:pt>
                <c:pt idx="2">
                  <c:v>144</c:v>
                </c:pt>
              </c:numCache>
            </c:numRef>
          </c:xVal>
          <c:yVal>
            <c:numRef>
              <c:f>[3]Sheet1!$Q$31:$Q$33</c:f>
              <c:numCache>
                <c:formatCode>General</c:formatCode>
                <c:ptCount val="3"/>
                <c:pt idx="0">
                  <c:v>2.2163942778282375</c:v>
                </c:pt>
                <c:pt idx="1">
                  <c:v>2.6521494244233494</c:v>
                </c:pt>
                <c:pt idx="2">
                  <c:v>2.5189372227758136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4B-40CF-AEE6-83F03FF6A5E9}"/>
            </c:ext>
          </c:extLst>
        </c:ser>
        <c:ser>
          <c:idx val="0"/>
          <c:order val="1"/>
          <c:tx>
            <c:v>Mg - outlet (reactor A) 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A4F9FF"/>
              </a:solidFill>
              <a:ln w="9525">
                <a:noFill/>
              </a:ln>
              <a:effectLst/>
            </c:spPr>
          </c:marker>
          <c:xVal>
            <c:numRef>
              <c:f>[3]Sheet1!$D$15:$D$26</c:f>
              <c:numCache>
                <c:formatCode>General</c:formatCode>
                <c:ptCount val="12"/>
                <c:pt idx="0">
                  <c:v>0.75</c:v>
                </c:pt>
                <c:pt idx="1">
                  <c:v>18.5</c:v>
                </c:pt>
                <c:pt idx="2">
                  <c:v>24.25</c:v>
                </c:pt>
                <c:pt idx="3">
                  <c:v>43.416666666666664</c:v>
                </c:pt>
                <c:pt idx="4">
                  <c:v>49.666666666666664</c:v>
                </c:pt>
                <c:pt idx="5">
                  <c:v>67.916666666666657</c:v>
                </c:pt>
                <c:pt idx="6">
                  <c:v>74.499999999999986</c:v>
                </c:pt>
                <c:pt idx="7">
                  <c:v>88.999999999999986</c:v>
                </c:pt>
                <c:pt idx="8">
                  <c:v>95.916666666666657</c:v>
                </c:pt>
                <c:pt idx="9">
                  <c:v>113.24999999999999</c:v>
                </c:pt>
                <c:pt idx="10">
                  <c:v>121.74999999999999</c:v>
                </c:pt>
                <c:pt idx="11">
                  <c:v>137.08333333333334</c:v>
                </c:pt>
              </c:numCache>
            </c:numRef>
          </c:xVal>
          <c:yVal>
            <c:numRef>
              <c:f>[3]Sheet1!$U$15:$U$26</c:f>
              <c:numCache>
                <c:formatCode>General</c:formatCode>
                <c:ptCount val="12"/>
                <c:pt idx="0">
                  <c:v>1.8285310505151493</c:v>
                </c:pt>
                <c:pt idx="1">
                  <c:v>1.9265601142920552</c:v>
                </c:pt>
                <c:pt idx="2">
                  <c:v>1.9659642753556319</c:v>
                </c:pt>
                <c:pt idx="3">
                  <c:v>2.0217820830504141</c:v>
                </c:pt>
                <c:pt idx="4">
                  <c:v>2.0544389706305215</c:v>
                </c:pt>
                <c:pt idx="5">
                  <c:v>2.1731369027343388</c:v>
                </c:pt>
                <c:pt idx="6">
                  <c:v>2.1472233478285876</c:v>
                </c:pt>
                <c:pt idx="7">
                  <c:v>2.1914325898801601</c:v>
                </c:pt>
                <c:pt idx="8">
                  <c:v>2.2191118375941712</c:v>
                </c:pt>
                <c:pt idx="9">
                  <c:v>2.2396461805079384</c:v>
                </c:pt>
                <c:pt idx="10">
                  <c:v>2.3150713553714506</c:v>
                </c:pt>
                <c:pt idx="11">
                  <c:v>2.2454910878871601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A4B-40CF-AEE6-83F03FF6A5E9}"/>
            </c:ext>
          </c:extLst>
        </c:ser>
        <c:ser>
          <c:idx val="2"/>
          <c:order val="2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[3]Sheet1!$D$50:$D$61</c:f>
              <c:numCache>
                <c:formatCode>General</c:formatCode>
                <c:ptCount val="12"/>
                <c:pt idx="0">
                  <c:v>0.75</c:v>
                </c:pt>
                <c:pt idx="1">
                  <c:v>18.5</c:v>
                </c:pt>
                <c:pt idx="2">
                  <c:v>24.25</c:v>
                </c:pt>
                <c:pt idx="3">
                  <c:v>43.416666666666664</c:v>
                </c:pt>
                <c:pt idx="4">
                  <c:v>49.666666666666664</c:v>
                </c:pt>
                <c:pt idx="5">
                  <c:v>67.916666666666657</c:v>
                </c:pt>
                <c:pt idx="6">
                  <c:v>74.499999999999986</c:v>
                </c:pt>
                <c:pt idx="7">
                  <c:v>88.999999999999986</c:v>
                </c:pt>
                <c:pt idx="8">
                  <c:v>95.916666666666657</c:v>
                </c:pt>
                <c:pt idx="9">
                  <c:v>113.24999999999999</c:v>
                </c:pt>
                <c:pt idx="10">
                  <c:v>121.74999999999999</c:v>
                </c:pt>
                <c:pt idx="11">
                  <c:v>137.08333333333334</c:v>
                </c:pt>
              </c:numCache>
            </c:numRef>
          </c:xVal>
          <c:yVal>
            <c:numRef>
              <c:f>[3]Sheet1!$U$50:$U$61</c:f>
              <c:numCache>
                <c:formatCode>General</c:formatCode>
                <c:ptCount val="12"/>
                <c:pt idx="0">
                  <c:v>1.8593173671308012</c:v>
                </c:pt>
                <c:pt idx="1">
                  <c:v>1.9103843541944072</c:v>
                </c:pt>
                <c:pt idx="2">
                  <c:v>1.9715172375023147</c:v>
                </c:pt>
                <c:pt idx="3">
                  <c:v>2.0355034287616514</c:v>
                </c:pt>
                <c:pt idx="5">
                  <c:v>2.1608189738243748</c:v>
                </c:pt>
                <c:pt idx="6">
                  <c:v>2.1519172687782406</c:v>
                </c:pt>
                <c:pt idx="7">
                  <c:v>2.1888994961314041</c:v>
                </c:pt>
                <c:pt idx="8">
                  <c:v>2.2138095122617965</c:v>
                </c:pt>
                <c:pt idx="9">
                  <c:v>2.2322449605146937</c:v>
                </c:pt>
                <c:pt idx="10">
                  <c:v>2.2529327287678242</c:v>
                </c:pt>
                <c:pt idx="11">
                  <c:v>2.2971290181324231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A4B-40CF-AEE6-83F03FF6A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48739391787244"/>
          <c:y val="9.6803636662920203E-2"/>
          <c:w val="0.5698299632166649"/>
          <c:h val="0.73587951781264604"/>
        </c:manualLayout>
      </c:layout>
      <c:scatterChart>
        <c:scatterStyle val="lineMarker"/>
        <c:varyColors val="0"/>
        <c:ser>
          <c:idx val="1"/>
          <c:order val="0"/>
          <c:tx>
            <c:v>Mg - inlet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'[4]SOLUTION COMP'!$D$31:$D$35</c:f>
              <c:numCache>
                <c:formatCode>General</c:formatCode>
                <c:ptCount val="5"/>
                <c:pt idx="0">
                  <c:v>0</c:v>
                </c:pt>
                <c:pt idx="1">
                  <c:v>71.916666666666671</c:v>
                </c:pt>
                <c:pt idx="2">
                  <c:v>97.916666666666671</c:v>
                </c:pt>
                <c:pt idx="3">
                  <c:v>191.66666666666669</c:v>
                </c:pt>
                <c:pt idx="4">
                  <c:v>216.66666666666669</c:v>
                </c:pt>
              </c:numCache>
            </c:numRef>
          </c:xVal>
          <c:yVal>
            <c:numRef>
              <c:f>'[4]SOLUTION COMP'!$O$31:$O$35</c:f>
              <c:numCache>
                <c:formatCode>General</c:formatCode>
                <c:ptCount val="5"/>
                <c:pt idx="0">
                  <c:v>1.675033360012075</c:v>
                </c:pt>
                <c:pt idx="1">
                  <c:v>1.683793437120497</c:v>
                </c:pt>
                <c:pt idx="2">
                  <c:v>1.7438265780826612</c:v>
                </c:pt>
                <c:pt idx="3">
                  <c:v>1.7580818472784026</c:v>
                </c:pt>
                <c:pt idx="4">
                  <c:v>1.7810025495789554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818-44A6-8434-15D6B72AE4AD}"/>
            </c:ext>
          </c:extLst>
        </c:ser>
        <c:ser>
          <c:idx val="0"/>
          <c:order val="1"/>
          <c:tx>
            <c:v>Mg - outlet (reactor A) 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A4F9FF"/>
              </a:solidFill>
              <a:ln w="9525">
                <a:noFill/>
              </a:ln>
              <a:effectLst/>
            </c:spPr>
          </c:marker>
          <c:xVal>
            <c:numRef>
              <c:f>'[4]SOLUTION COMP'!$D$15:$D$25</c:f>
              <c:numCache>
                <c:formatCode>General</c:formatCode>
                <c:ptCount val="11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</c:numCache>
            </c:numRef>
          </c:xVal>
          <c:yVal>
            <c:numRef>
              <c:f>'[4]SOLUTION COMP'!$R$15:$R$25</c:f>
              <c:numCache>
                <c:formatCode>General</c:formatCode>
                <c:ptCount val="11"/>
                <c:pt idx="0">
                  <c:v>1.631582085771887</c:v>
                </c:pt>
                <c:pt idx="1">
                  <c:v>1.5252600257818758</c:v>
                </c:pt>
                <c:pt idx="2">
                  <c:v>1.5295361867782797</c:v>
                </c:pt>
                <c:pt idx="3">
                  <c:v>1.5186307214315153</c:v>
                </c:pt>
                <c:pt idx="4">
                  <c:v>1.4893057093947073</c:v>
                </c:pt>
                <c:pt idx="5">
                  <c:v>1.4997715022347715</c:v>
                </c:pt>
                <c:pt idx="6">
                  <c:v>1.5098829240051659</c:v>
                </c:pt>
                <c:pt idx="7">
                  <c:v>1.5357903230401417</c:v>
                </c:pt>
                <c:pt idx="8">
                  <c:v>1.5407552461064027</c:v>
                </c:pt>
                <c:pt idx="9">
                  <c:v>1.5659342462694297</c:v>
                </c:pt>
                <c:pt idx="10">
                  <c:v>1.5499032996421847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818-44A6-8434-15D6B72AE4AD}"/>
            </c:ext>
          </c:extLst>
        </c:ser>
        <c:ser>
          <c:idx val="2"/>
          <c:order val="2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'[4]SOLUTION COMP'!$D$52:$D$64</c:f>
              <c:numCache>
                <c:formatCode>General</c:formatCode>
                <c:ptCount val="13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  <c:pt idx="11">
                  <c:v>200.16666666666669</c:v>
                </c:pt>
                <c:pt idx="12">
                  <c:v>213.75000000000003</c:v>
                </c:pt>
              </c:numCache>
            </c:numRef>
          </c:xVal>
          <c:yVal>
            <c:numRef>
              <c:f>'[4]SOLUTION COMP'!$R$52:$R$64</c:f>
              <c:numCache>
                <c:formatCode>General</c:formatCode>
                <c:ptCount val="13"/>
                <c:pt idx="0">
                  <c:v>1.5822571062764685</c:v>
                </c:pt>
                <c:pt idx="1">
                  <c:v>1.5385274186201316</c:v>
                </c:pt>
                <c:pt idx="2">
                  <c:v>1.5036658028942806</c:v>
                </c:pt>
                <c:pt idx="3">
                  <c:v>1.5015800004760618</c:v>
                </c:pt>
                <c:pt idx="4">
                  <c:v>1.4948511677545948</c:v>
                </c:pt>
                <c:pt idx="5">
                  <c:v>1.4725760501407688</c:v>
                </c:pt>
                <c:pt idx="6">
                  <c:v>1.496744923185211</c:v>
                </c:pt>
                <c:pt idx="7">
                  <c:v>1.5400918221004785</c:v>
                </c:pt>
                <c:pt idx="8">
                  <c:v>1.5225206069259072</c:v>
                </c:pt>
                <c:pt idx="9">
                  <c:v>1.5356916456991523</c:v>
                </c:pt>
                <c:pt idx="10">
                  <c:v>1.5368305748584736</c:v>
                </c:pt>
                <c:pt idx="11">
                  <c:v>1.5306968006004222</c:v>
                </c:pt>
                <c:pt idx="12">
                  <c:v>1.5312139186676985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818-44A6-8434-15D6B72AE4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Mg - outlet (reactor A) 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A4F9FF"/>
              </a:solidFill>
              <a:ln w="9525">
                <a:noFill/>
              </a:ln>
              <a:effectLst/>
            </c:spPr>
          </c:marker>
          <c:xVal>
            <c:numRef>
              <c:f>'[1]SOLUTION COMP'!$D$15:$D$29</c:f>
              <c:numCache>
                <c:formatCode>General</c:formatCode>
                <c:ptCount val="15"/>
                <c:pt idx="0">
                  <c:v>0.5</c:v>
                </c:pt>
                <c:pt idx="1">
                  <c:v>3.5</c:v>
                </c:pt>
                <c:pt idx="2">
                  <c:v>6.5</c:v>
                </c:pt>
                <c:pt idx="3">
                  <c:v>9.5</c:v>
                </c:pt>
                <c:pt idx="4">
                  <c:v>27.5</c:v>
                </c:pt>
                <c:pt idx="5">
                  <c:v>51.75</c:v>
                </c:pt>
                <c:pt idx="6">
                  <c:v>54.25</c:v>
                </c:pt>
                <c:pt idx="7">
                  <c:v>56.833333333333336</c:v>
                </c:pt>
                <c:pt idx="8">
                  <c:v>75.25</c:v>
                </c:pt>
                <c:pt idx="9">
                  <c:v>77.75</c:v>
                </c:pt>
                <c:pt idx="10">
                  <c:v>80.333333333333329</c:v>
                </c:pt>
                <c:pt idx="11">
                  <c:v>96.25</c:v>
                </c:pt>
                <c:pt idx="12">
                  <c:v>100.16666666666667</c:v>
                </c:pt>
                <c:pt idx="13">
                  <c:v>103.08333333333334</c:v>
                </c:pt>
                <c:pt idx="14">
                  <c:v>106.25000000000001</c:v>
                </c:pt>
              </c:numCache>
            </c:numRef>
          </c:xVal>
          <c:yVal>
            <c:numRef>
              <c:f>'[1]SOLUTION COMP'!$T$15:$T$29</c:f>
              <c:numCache>
                <c:formatCode>General</c:formatCode>
                <c:ptCount val="15"/>
                <c:pt idx="0">
                  <c:v>2.4955543633300152</c:v>
                </c:pt>
                <c:pt idx="1">
                  <c:v>2.4374438942521084</c:v>
                </c:pt>
                <c:pt idx="2">
                  <c:v>2.3882401596173257</c:v>
                </c:pt>
                <c:pt idx="3">
                  <c:v>2.3322057875823692</c:v>
                </c:pt>
                <c:pt idx="4">
                  <c:v>2.3335840033801087</c:v>
                </c:pt>
                <c:pt idx="5">
                  <c:v>2.3097571405328798</c:v>
                </c:pt>
                <c:pt idx="6">
                  <c:v>2.3061818008888579</c:v>
                </c:pt>
                <c:pt idx="7">
                  <c:v>2.3233017865430248</c:v>
                </c:pt>
                <c:pt idx="8">
                  <c:v>2.3443057519398671</c:v>
                </c:pt>
                <c:pt idx="9">
                  <c:v>2.3263571622904888</c:v>
                </c:pt>
                <c:pt idx="10">
                  <c:v>2.2946835319791479</c:v>
                </c:pt>
                <c:pt idx="11">
                  <c:v>2.3353015197977078</c:v>
                </c:pt>
                <c:pt idx="12">
                  <c:v>2.3079910394501506</c:v>
                </c:pt>
                <c:pt idx="13">
                  <c:v>2.3371388256865715</c:v>
                </c:pt>
                <c:pt idx="14">
                  <c:v>2.3562738970989496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94A-405A-92FC-634DF1F5D817}"/>
            </c:ext>
          </c:extLst>
        </c:ser>
        <c:ser>
          <c:idx val="1"/>
          <c:order val="1"/>
          <c:tx>
            <c:v>Mg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'[1]SOLUTION COMP'!$D$36:$D$39</c:f>
              <c:numCache>
                <c:formatCode>General</c:formatCode>
                <c:ptCount val="4"/>
                <c:pt idx="0">
                  <c:v>0</c:v>
                </c:pt>
                <c:pt idx="1">
                  <c:v>52.166666666666664</c:v>
                </c:pt>
                <c:pt idx="2">
                  <c:v>75.416666666666657</c:v>
                </c:pt>
                <c:pt idx="3">
                  <c:v>100.91666666666666</c:v>
                </c:pt>
              </c:numCache>
            </c:numRef>
          </c:xVal>
          <c:yVal>
            <c:numRef>
              <c:f>'[1]SOLUTION COMP'!$Q$36:$Q$39</c:f>
              <c:numCache>
                <c:formatCode>General</c:formatCode>
                <c:ptCount val="4"/>
                <c:pt idx="0">
                  <c:v>2.525137316910786</c:v>
                </c:pt>
                <c:pt idx="1">
                  <c:v>2.4989207841925052</c:v>
                </c:pt>
                <c:pt idx="2">
                  <c:v>2.5006228167637961</c:v>
                </c:pt>
                <c:pt idx="3">
                  <c:v>2.4976317361165505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94A-405A-92FC-634DF1F5D817}"/>
            </c:ext>
          </c:extLst>
        </c:ser>
        <c:ser>
          <c:idx val="2"/>
          <c:order val="2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'[1]SOLUTION COMP'!$D$56:$D$70</c:f>
              <c:numCache>
                <c:formatCode>General</c:formatCode>
                <c:ptCount val="15"/>
                <c:pt idx="0">
                  <c:v>0.5</c:v>
                </c:pt>
                <c:pt idx="1">
                  <c:v>3.5</c:v>
                </c:pt>
                <c:pt idx="2">
                  <c:v>6.5</c:v>
                </c:pt>
                <c:pt idx="3">
                  <c:v>9.5</c:v>
                </c:pt>
                <c:pt idx="4">
                  <c:v>27.5</c:v>
                </c:pt>
                <c:pt idx="5">
                  <c:v>51.75</c:v>
                </c:pt>
                <c:pt idx="6">
                  <c:v>54.25</c:v>
                </c:pt>
                <c:pt idx="7">
                  <c:v>56.833333333333336</c:v>
                </c:pt>
                <c:pt idx="8">
                  <c:v>75.25</c:v>
                </c:pt>
                <c:pt idx="9">
                  <c:v>77.75</c:v>
                </c:pt>
                <c:pt idx="10">
                  <c:v>80.333333333333329</c:v>
                </c:pt>
                <c:pt idx="11">
                  <c:v>96.25</c:v>
                </c:pt>
                <c:pt idx="12">
                  <c:v>100.16666666666667</c:v>
                </c:pt>
                <c:pt idx="13">
                  <c:v>103.08333333333334</c:v>
                </c:pt>
                <c:pt idx="14">
                  <c:v>106.25000000000001</c:v>
                </c:pt>
              </c:numCache>
            </c:numRef>
          </c:xVal>
          <c:yVal>
            <c:numRef>
              <c:f>'[1]SOLUTION COMP'!$T$56:$T$70</c:f>
              <c:numCache>
                <c:formatCode>General</c:formatCode>
                <c:ptCount val="15"/>
                <c:pt idx="0">
                  <c:v>2.5178246919416885</c:v>
                </c:pt>
                <c:pt idx="1">
                  <c:v>2.4376636706613404</c:v>
                </c:pt>
                <c:pt idx="2">
                  <c:v>2.3913746871706345</c:v>
                </c:pt>
                <c:pt idx="3">
                  <c:v>2.3638160620769755</c:v>
                </c:pt>
                <c:pt idx="4">
                  <c:v>2.3254715111034745</c:v>
                </c:pt>
                <c:pt idx="5">
                  <c:v>2.3287771622485809</c:v>
                </c:pt>
                <c:pt idx="6">
                  <c:v>2.313482153245511</c:v>
                </c:pt>
                <c:pt idx="7">
                  <c:v>2.3265937690143832</c:v>
                </c:pt>
                <c:pt idx="8">
                  <c:v>2.3434773931787318</c:v>
                </c:pt>
                <c:pt idx="9">
                  <c:v>2.2949508463780575</c:v>
                </c:pt>
                <c:pt idx="10">
                  <c:v>2.2780036811759081</c:v>
                </c:pt>
                <c:pt idx="12">
                  <c:v>2.2674177412572711</c:v>
                </c:pt>
                <c:pt idx="13">
                  <c:v>2.3185621785331976</c:v>
                </c:pt>
                <c:pt idx="14">
                  <c:v>2.3136369748044951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94A-405A-92FC-634DF1F5D817}"/>
            </c:ext>
          </c:extLst>
        </c:ser>
        <c:ser>
          <c:idx val="3"/>
          <c:order val="3"/>
          <c:tx>
            <c:v>Mg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'[1]SOLUTION COMP'!$D$77:$D$81</c:f>
              <c:numCache>
                <c:formatCode>General</c:formatCode>
                <c:ptCount val="5"/>
              </c:numCache>
            </c:numRef>
          </c:xVal>
          <c:yVal>
            <c:numRef>
              <c:f>'[1]SOLUTION COMP'!$Q$77:$Q$81</c:f>
              <c:numCache>
                <c:formatCode>General</c:formatCode>
                <c:ptCount val="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94A-405A-92FC-634DF1F5D8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2.2000000000000002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Si- outlet (reactor A) 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A4F9FF"/>
              </a:solidFill>
              <a:ln w="9525">
                <a:noFill/>
              </a:ln>
              <a:effectLst/>
            </c:spPr>
          </c:marker>
          <c:errBars>
            <c:errDir val="y"/>
            <c:errBarType val="both"/>
            <c:errValType val="percentage"/>
            <c:noEndCap val="0"/>
            <c:val val="10"/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xVal>
            <c:numRef>
              <c:f>'[4]SOLUTION COMP'!$D$15:$D$25</c:f>
              <c:numCache>
                <c:formatCode>General</c:formatCode>
                <c:ptCount val="11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</c:numCache>
            </c:numRef>
          </c:xVal>
          <c:yVal>
            <c:numRef>
              <c:f>'[4]SOLUTION COMP'!$T$15:$T$25</c:f>
              <c:numCache>
                <c:formatCode>General</c:formatCode>
                <c:ptCount val="11"/>
                <c:pt idx="0">
                  <c:v>2.6364315912117178</c:v>
                </c:pt>
                <c:pt idx="1">
                  <c:v>2.4778863810001965</c:v>
                </c:pt>
                <c:pt idx="2">
                  <c:v>2.3932615553989018</c:v>
                </c:pt>
                <c:pt idx="3">
                  <c:v>2.4040521970705728</c:v>
                </c:pt>
                <c:pt idx="4">
                  <c:v>2.352841603028192</c:v>
                </c:pt>
                <c:pt idx="5">
                  <c:v>2.3879731654090848</c:v>
                </c:pt>
                <c:pt idx="6">
                  <c:v>2.4123375305092876</c:v>
                </c:pt>
                <c:pt idx="7">
                  <c:v>2.3777318745523019</c:v>
                </c:pt>
                <c:pt idx="8">
                  <c:v>2.3833178671651698</c:v>
                </c:pt>
                <c:pt idx="9">
                  <c:v>2.4236165658902884</c:v>
                </c:pt>
                <c:pt idx="10">
                  <c:v>2.4453959572055743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F93-4151-83DB-871C01D1E930}"/>
            </c:ext>
          </c:extLst>
        </c:ser>
        <c:ser>
          <c:idx val="1"/>
          <c:order val="1"/>
          <c:tx>
            <c:v>Si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'[4]SOLUTION COMP'!$D$31:$D$35</c:f>
              <c:numCache>
                <c:formatCode>General</c:formatCode>
                <c:ptCount val="5"/>
                <c:pt idx="0">
                  <c:v>0</c:v>
                </c:pt>
                <c:pt idx="1">
                  <c:v>71.916666666666671</c:v>
                </c:pt>
                <c:pt idx="2">
                  <c:v>97.916666666666671</c:v>
                </c:pt>
                <c:pt idx="3">
                  <c:v>191.66666666666669</c:v>
                </c:pt>
                <c:pt idx="4">
                  <c:v>216.66666666666669</c:v>
                </c:pt>
              </c:numCache>
            </c:numRef>
          </c:xVal>
          <c:yVal>
            <c:numRef>
              <c:f>'[4]SOLUTION COMP'!$Q$31:$Q$35</c:f>
              <c:numCache>
                <c:formatCode>General</c:formatCode>
                <c:ptCount val="5"/>
                <c:pt idx="0">
                  <c:v>2.6412825565912117</c:v>
                </c:pt>
                <c:pt idx="1">
                  <c:v>2.6640807218282605</c:v>
                </c:pt>
                <c:pt idx="2">
                  <c:v>2.6599725284320366</c:v>
                </c:pt>
                <c:pt idx="3">
                  <c:v>2.7171016657486002</c:v>
                </c:pt>
                <c:pt idx="4">
                  <c:v>2.7403290591177574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F93-4151-83DB-871C01D1E930}"/>
            </c:ext>
          </c:extLst>
        </c:ser>
        <c:ser>
          <c:idx val="2"/>
          <c:order val="2"/>
          <c:tx>
            <c:v>Si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'[4]SOLUTION COMP'!$D$52:$D$64</c:f>
              <c:numCache>
                <c:formatCode>General</c:formatCode>
                <c:ptCount val="13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  <c:pt idx="11">
                  <c:v>200.16666666666669</c:v>
                </c:pt>
                <c:pt idx="12">
                  <c:v>213.75000000000003</c:v>
                </c:pt>
              </c:numCache>
            </c:numRef>
          </c:xVal>
          <c:yVal>
            <c:numRef>
              <c:f>'[4]SOLUTION COMP'!$T$52:$T$64</c:f>
              <c:numCache>
                <c:formatCode>General</c:formatCode>
                <c:ptCount val="13"/>
                <c:pt idx="0">
                  <c:v>2.5485583046462019</c:v>
                </c:pt>
                <c:pt idx="1">
                  <c:v>2.467036537682199</c:v>
                </c:pt>
                <c:pt idx="2">
                  <c:v>2.3571554152961611</c:v>
                </c:pt>
                <c:pt idx="3">
                  <c:v>2.4035007586783514</c:v>
                </c:pt>
                <c:pt idx="4">
                  <c:v>2.3752204014955778</c:v>
                </c:pt>
                <c:pt idx="5">
                  <c:v>2.3934749728672275</c:v>
                </c:pt>
                <c:pt idx="6">
                  <c:v>2.3204251817249131</c:v>
                </c:pt>
                <c:pt idx="7">
                  <c:v>2.3988427832657231</c:v>
                </c:pt>
                <c:pt idx="8">
                  <c:v>2.3725074763703042</c:v>
                </c:pt>
                <c:pt idx="9">
                  <c:v>2.3889912244200717</c:v>
                </c:pt>
                <c:pt idx="10">
                  <c:v>2.4237683089214377</c:v>
                </c:pt>
                <c:pt idx="11">
                  <c:v>2.3837623786386364</c:v>
                </c:pt>
                <c:pt idx="12">
                  <c:v>2.4208771968501166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F93-4151-83DB-871C01D1E930}"/>
            </c:ext>
          </c:extLst>
        </c:ser>
        <c:ser>
          <c:idx val="3"/>
          <c:order val="3"/>
          <c:tx>
            <c:v>Si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'SOLUTION COMP'!#REF!</c:f>
            </c:numRef>
          </c:xVal>
          <c:yVal>
            <c:numRef>
              <c:f>'SOLUTION COMP'!#REF!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F93-4151-83DB-871C01D1E9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2"/>
          <c:order val="0"/>
          <c:tx>
            <c:v>Si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'[4]SOLUTION COMP'!$D$52:$D$64</c:f>
              <c:numCache>
                <c:formatCode>General</c:formatCode>
                <c:ptCount val="13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  <c:pt idx="11">
                  <c:v>200.16666666666669</c:v>
                </c:pt>
                <c:pt idx="12">
                  <c:v>213.75000000000003</c:v>
                </c:pt>
              </c:numCache>
            </c:numRef>
          </c:xVal>
          <c:yVal>
            <c:numRef>
              <c:f>'[4]SOLUTION COMP'!$T$52:$T$64</c:f>
              <c:numCache>
                <c:formatCode>General</c:formatCode>
                <c:ptCount val="13"/>
                <c:pt idx="0">
                  <c:v>2.5485583046462019</c:v>
                </c:pt>
                <c:pt idx="1">
                  <c:v>2.467036537682199</c:v>
                </c:pt>
                <c:pt idx="2">
                  <c:v>2.3571554152961611</c:v>
                </c:pt>
                <c:pt idx="3">
                  <c:v>2.4035007586783514</c:v>
                </c:pt>
                <c:pt idx="4">
                  <c:v>2.3752204014955778</c:v>
                </c:pt>
                <c:pt idx="5">
                  <c:v>2.3934749728672275</c:v>
                </c:pt>
                <c:pt idx="6">
                  <c:v>2.3204251817249131</c:v>
                </c:pt>
                <c:pt idx="7">
                  <c:v>2.3988427832657231</c:v>
                </c:pt>
                <c:pt idx="8">
                  <c:v>2.3725074763703042</c:v>
                </c:pt>
                <c:pt idx="9">
                  <c:v>2.3889912244200717</c:v>
                </c:pt>
                <c:pt idx="10">
                  <c:v>2.4237683089214377</c:v>
                </c:pt>
                <c:pt idx="11">
                  <c:v>2.3837623786386364</c:v>
                </c:pt>
                <c:pt idx="12">
                  <c:v>2.4208771968501166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B0-4349-8754-BDD35CA62178}"/>
            </c:ext>
          </c:extLst>
        </c:ser>
        <c:ser>
          <c:idx val="3"/>
          <c:order val="1"/>
          <c:tx>
            <c:v>Si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'[4]SOLUTION COMP'!$D$31:$D$35</c:f>
              <c:numCache>
                <c:formatCode>General</c:formatCode>
                <c:ptCount val="5"/>
                <c:pt idx="0">
                  <c:v>0</c:v>
                </c:pt>
                <c:pt idx="1">
                  <c:v>71.916666666666671</c:v>
                </c:pt>
                <c:pt idx="2">
                  <c:v>97.916666666666671</c:v>
                </c:pt>
                <c:pt idx="3">
                  <c:v>191.66666666666669</c:v>
                </c:pt>
                <c:pt idx="4">
                  <c:v>216.66666666666669</c:v>
                </c:pt>
              </c:numCache>
            </c:numRef>
          </c:xVal>
          <c:yVal>
            <c:numRef>
              <c:f>'[4]SOLUTION COMP'!$Q$31:$Q$35</c:f>
              <c:numCache>
                <c:formatCode>General</c:formatCode>
                <c:ptCount val="5"/>
                <c:pt idx="0">
                  <c:v>2.6412825565912117</c:v>
                </c:pt>
                <c:pt idx="1">
                  <c:v>2.6640807218282605</c:v>
                </c:pt>
                <c:pt idx="2">
                  <c:v>2.6599725284320366</c:v>
                </c:pt>
                <c:pt idx="3">
                  <c:v>2.7171016657486002</c:v>
                </c:pt>
                <c:pt idx="4">
                  <c:v>2.7403290591177574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B0-4349-8754-BDD35CA621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Si - outlet (reactor A) 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noFill/>
              </a:ln>
              <a:effectLst/>
            </c:spPr>
          </c:marker>
          <c:xVal>
            <c:numRef>
              <c:f>'[4]SOLUTION COMP'!$D$15:$D$25</c:f>
              <c:numCache>
                <c:formatCode>General</c:formatCode>
                <c:ptCount val="11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</c:numCache>
            </c:numRef>
          </c:xVal>
          <c:yVal>
            <c:numRef>
              <c:f>'[4]SOLUTION COMP'!$T$15:$T$25</c:f>
              <c:numCache>
                <c:formatCode>General</c:formatCode>
                <c:ptCount val="11"/>
                <c:pt idx="0">
                  <c:v>2.6364315912117178</c:v>
                </c:pt>
                <c:pt idx="1">
                  <c:v>2.4778863810001965</c:v>
                </c:pt>
                <c:pt idx="2">
                  <c:v>2.3932615553989018</c:v>
                </c:pt>
                <c:pt idx="3">
                  <c:v>2.4040521970705728</c:v>
                </c:pt>
                <c:pt idx="4">
                  <c:v>2.352841603028192</c:v>
                </c:pt>
                <c:pt idx="5">
                  <c:v>2.3879731654090848</c:v>
                </c:pt>
                <c:pt idx="6">
                  <c:v>2.4123375305092876</c:v>
                </c:pt>
                <c:pt idx="7">
                  <c:v>2.3777318745523019</c:v>
                </c:pt>
                <c:pt idx="8">
                  <c:v>2.3833178671651698</c:v>
                </c:pt>
                <c:pt idx="9">
                  <c:v>2.4236165658902884</c:v>
                </c:pt>
                <c:pt idx="10">
                  <c:v>2.4453959572055743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87-4D33-9B10-A0E16BCF7A18}"/>
            </c:ext>
          </c:extLst>
        </c:ser>
        <c:ser>
          <c:idx val="1"/>
          <c:order val="1"/>
          <c:tx>
            <c:v>Si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'[4]SOLUTION COMP'!$D$31:$D$35</c:f>
              <c:numCache>
                <c:formatCode>General</c:formatCode>
                <c:ptCount val="5"/>
                <c:pt idx="0">
                  <c:v>0</c:v>
                </c:pt>
                <c:pt idx="1">
                  <c:v>71.916666666666671</c:v>
                </c:pt>
                <c:pt idx="2">
                  <c:v>97.916666666666671</c:v>
                </c:pt>
                <c:pt idx="3">
                  <c:v>191.66666666666669</c:v>
                </c:pt>
                <c:pt idx="4">
                  <c:v>216.66666666666669</c:v>
                </c:pt>
              </c:numCache>
            </c:numRef>
          </c:xVal>
          <c:yVal>
            <c:numRef>
              <c:f>'[4]SOLUTION COMP'!$Q$31:$Q$35</c:f>
              <c:numCache>
                <c:formatCode>General</c:formatCode>
                <c:ptCount val="5"/>
                <c:pt idx="0">
                  <c:v>2.6412825565912117</c:v>
                </c:pt>
                <c:pt idx="1">
                  <c:v>2.6640807218282605</c:v>
                </c:pt>
                <c:pt idx="2">
                  <c:v>2.6599725284320366</c:v>
                </c:pt>
                <c:pt idx="3">
                  <c:v>2.7171016657486002</c:v>
                </c:pt>
                <c:pt idx="4">
                  <c:v>2.7403290591177574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87-4D33-9B10-A0E16BCF7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Mg - outlet (reactor A) 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noFill/>
              </a:ln>
              <a:effectLst/>
            </c:spPr>
          </c:marker>
          <c:xVal>
            <c:numRef>
              <c:f>'[4]SOLUTION COMP'!$D$15:$D$25</c:f>
              <c:numCache>
                <c:formatCode>General</c:formatCode>
                <c:ptCount val="11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</c:numCache>
            </c:numRef>
          </c:xVal>
          <c:yVal>
            <c:numRef>
              <c:f>'[4]SOLUTION COMP'!$R$15:$R$25</c:f>
              <c:numCache>
                <c:formatCode>General</c:formatCode>
                <c:ptCount val="11"/>
                <c:pt idx="0">
                  <c:v>1.631582085771887</c:v>
                </c:pt>
                <c:pt idx="1">
                  <c:v>1.5252600257818758</c:v>
                </c:pt>
                <c:pt idx="2">
                  <c:v>1.5295361867782797</c:v>
                </c:pt>
                <c:pt idx="3">
                  <c:v>1.5186307214315153</c:v>
                </c:pt>
                <c:pt idx="4">
                  <c:v>1.4893057093947073</c:v>
                </c:pt>
                <c:pt idx="5">
                  <c:v>1.4997715022347715</c:v>
                </c:pt>
                <c:pt idx="6">
                  <c:v>1.5098829240051659</c:v>
                </c:pt>
                <c:pt idx="7">
                  <c:v>1.5357903230401417</c:v>
                </c:pt>
                <c:pt idx="8">
                  <c:v>1.5407552461064027</c:v>
                </c:pt>
                <c:pt idx="9">
                  <c:v>1.5659342462694297</c:v>
                </c:pt>
                <c:pt idx="10">
                  <c:v>1.5499032996421847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4CB-47AA-8070-52466E2B0128}"/>
            </c:ext>
          </c:extLst>
        </c:ser>
        <c:ser>
          <c:idx val="1"/>
          <c:order val="1"/>
          <c:tx>
            <c:v>Mg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'[4]SOLUTION COMP'!$D$31:$D$35</c:f>
              <c:numCache>
                <c:formatCode>General</c:formatCode>
                <c:ptCount val="5"/>
                <c:pt idx="0">
                  <c:v>0</c:v>
                </c:pt>
                <c:pt idx="1">
                  <c:v>71.916666666666671</c:v>
                </c:pt>
                <c:pt idx="2">
                  <c:v>97.916666666666671</c:v>
                </c:pt>
                <c:pt idx="3">
                  <c:v>191.66666666666669</c:v>
                </c:pt>
                <c:pt idx="4">
                  <c:v>216.66666666666669</c:v>
                </c:pt>
              </c:numCache>
            </c:numRef>
          </c:xVal>
          <c:yVal>
            <c:numRef>
              <c:f>'[4]SOLUTION COMP'!$O$31:$O$35</c:f>
              <c:numCache>
                <c:formatCode>General</c:formatCode>
                <c:ptCount val="5"/>
                <c:pt idx="0">
                  <c:v>1.675033360012075</c:v>
                </c:pt>
                <c:pt idx="1">
                  <c:v>1.683793437120497</c:v>
                </c:pt>
                <c:pt idx="2">
                  <c:v>1.7438265780826612</c:v>
                </c:pt>
                <c:pt idx="3">
                  <c:v>1.7580818472784026</c:v>
                </c:pt>
                <c:pt idx="4">
                  <c:v>1.7810025495789554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4CB-47AA-8070-52466E2B01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2"/>
          <c:order val="0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'[4]SOLUTION COMP'!$D$52:$D$64</c:f>
              <c:numCache>
                <c:formatCode>General</c:formatCode>
                <c:ptCount val="13"/>
                <c:pt idx="0">
                  <c:v>0.66666666666666663</c:v>
                </c:pt>
                <c:pt idx="1">
                  <c:v>7.666666666666667</c:v>
                </c:pt>
                <c:pt idx="2">
                  <c:v>23.416666666666668</c:v>
                </c:pt>
                <c:pt idx="3">
                  <c:v>28.416666666666668</c:v>
                </c:pt>
                <c:pt idx="4">
                  <c:v>53.416666666666671</c:v>
                </c:pt>
                <c:pt idx="5">
                  <c:v>71.833333333333343</c:v>
                </c:pt>
                <c:pt idx="6">
                  <c:v>95.666666666666671</c:v>
                </c:pt>
                <c:pt idx="7">
                  <c:v>147.83333333333334</c:v>
                </c:pt>
                <c:pt idx="8">
                  <c:v>168.00000000000003</c:v>
                </c:pt>
                <c:pt idx="9">
                  <c:v>176.16666666666669</c:v>
                </c:pt>
                <c:pt idx="10">
                  <c:v>191.25000000000003</c:v>
                </c:pt>
                <c:pt idx="11">
                  <c:v>200.16666666666669</c:v>
                </c:pt>
                <c:pt idx="12">
                  <c:v>213.75000000000003</c:v>
                </c:pt>
              </c:numCache>
            </c:numRef>
          </c:xVal>
          <c:yVal>
            <c:numRef>
              <c:f>'[4]SOLUTION COMP'!$R$52:$R$64</c:f>
              <c:numCache>
                <c:formatCode>General</c:formatCode>
                <c:ptCount val="13"/>
                <c:pt idx="0">
                  <c:v>1.5822571062764685</c:v>
                </c:pt>
                <c:pt idx="1">
                  <c:v>1.5385274186201316</c:v>
                </c:pt>
                <c:pt idx="2">
                  <c:v>1.5036658028942806</c:v>
                </c:pt>
                <c:pt idx="3">
                  <c:v>1.5015800004760618</c:v>
                </c:pt>
                <c:pt idx="4">
                  <c:v>1.4948511677545948</c:v>
                </c:pt>
                <c:pt idx="5">
                  <c:v>1.4725760501407688</c:v>
                </c:pt>
                <c:pt idx="6">
                  <c:v>1.496744923185211</c:v>
                </c:pt>
                <c:pt idx="7">
                  <c:v>1.5400918221004785</c:v>
                </c:pt>
                <c:pt idx="8">
                  <c:v>1.5225206069259072</c:v>
                </c:pt>
                <c:pt idx="9">
                  <c:v>1.5356916456991523</c:v>
                </c:pt>
                <c:pt idx="10">
                  <c:v>1.5368305748584736</c:v>
                </c:pt>
                <c:pt idx="11">
                  <c:v>1.5306968006004222</c:v>
                </c:pt>
                <c:pt idx="12">
                  <c:v>1.5312139186676985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2B-419A-82D4-9F204914CCB2}"/>
            </c:ext>
          </c:extLst>
        </c:ser>
        <c:ser>
          <c:idx val="3"/>
          <c:order val="1"/>
          <c:tx>
            <c:v>Mg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'SOLUTION COMP'!#REF!</c:f>
            </c:numRef>
          </c:xVal>
          <c:yVal>
            <c:numRef>
              <c:f>'SOLUTION COMP'!#REF!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2B-419A-82D4-9F204914CC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1"/>
          <c:order val="0"/>
          <c:tx>
            <c:v>Mg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CC1FF"/>
              </a:solidFill>
              <a:ln w="9525">
                <a:solidFill>
                  <a:srgbClr val="FCC1FF"/>
                </a:solidFill>
              </a:ln>
              <a:effectLst/>
            </c:spPr>
          </c:marker>
          <c:xVal>
            <c:numRef>
              <c:f>[5]Sheet1!$D$13:$D$27</c:f>
              <c:numCache>
                <c:formatCode>General</c:formatCode>
                <c:ptCount val="15"/>
                <c:pt idx="0">
                  <c:v>0</c:v>
                </c:pt>
                <c:pt idx="1">
                  <c:v>0.16666666666666666</c:v>
                </c:pt>
                <c:pt idx="2">
                  <c:v>1.8333333333333333</c:v>
                </c:pt>
                <c:pt idx="3">
                  <c:v>3.833333333333333</c:v>
                </c:pt>
                <c:pt idx="4">
                  <c:v>6.833333333333333</c:v>
                </c:pt>
                <c:pt idx="5">
                  <c:v>9.8333333333333321</c:v>
                </c:pt>
                <c:pt idx="6">
                  <c:v>24</c:v>
                </c:pt>
                <c:pt idx="7">
                  <c:v>25.833333333333332</c:v>
                </c:pt>
                <c:pt idx="8">
                  <c:v>27.833333333333332</c:v>
                </c:pt>
                <c:pt idx="9">
                  <c:v>29.833333333333332</c:v>
                </c:pt>
                <c:pt idx="10">
                  <c:v>31.833333333333332</c:v>
                </c:pt>
                <c:pt idx="11">
                  <c:v>33.833333333333329</c:v>
                </c:pt>
                <c:pt idx="12">
                  <c:v>47.833333333333336</c:v>
                </c:pt>
                <c:pt idx="13">
                  <c:v>50.333333333333336</c:v>
                </c:pt>
                <c:pt idx="14">
                  <c:v>52.833333333333336</c:v>
                </c:pt>
              </c:numCache>
            </c:numRef>
          </c:xVal>
          <c:yVal>
            <c:numRef>
              <c:f>[5]Sheet1!$M$13:$M$27</c:f>
              <c:numCache>
                <c:formatCode>General</c:formatCode>
                <c:ptCount val="15"/>
                <c:pt idx="0">
                  <c:v>0</c:v>
                </c:pt>
                <c:pt idx="1">
                  <c:v>1.752705204690393E-2</c:v>
                </c:pt>
                <c:pt idx="2">
                  <c:v>3.1816375231433859E-2</c:v>
                </c:pt>
                <c:pt idx="3">
                  <c:v>3.7929890968936432E-2</c:v>
                </c:pt>
                <c:pt idx="4">
                  <c:v>3.2868710141946103E-2</c:v>
                </c:pt>
                <c:pt idx="5">
                  <c:v>3.2560501954330384E-2</c:v>
                </c:pt>
                <c:pt idx="6">
                  <c:v>3.1013824315984366E-2</c:v>
                </c:pt>
                <c:pt idx="7">
                  <c:v>2.8788850030857849E-2</c:v>
                </c:pt>
                <c:pt idx="8">
                  <c:v>2.7439909483645344E-2</c:v>
                </c:pt>
                <c:pt idx="9">
                  <c:v>2.6866323801686895E-2</c:v>
                </c:pt>
                <c:pt idx="10">
                  <c:v>2.7150339436329971E-2</c:v>
                </c:pt>
                <c:pt idx="11">
                  <c:v>2.7404608105328122E-2</c:v>
                </c:pt>
                <c:pt idx="12">
                  <c:v>2.5712322567372967E-2</c:v>
                </c:pt>
                <c:pt idx="13">
                  <c:v>2.351581979016663E-2</c:v>
                </c:pt>
                <c:pt idx="14">
                  <c:v>2.4297675375437155E-2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BCF-4A63-A514-44057B1501F5}"/>
            </c:ext>
          </c:extLst>
        </c:ser>
        <c:ser>
          <c:idx val="0"/>
          <c:order val="1"/>
          <c:tx>
            <c:v>Mg - Reactor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[5]Sheet1!$D$47:$D$60</c:f>
              <c:numCache>
                <c:formatCode>General</c:formatCode>
                <c:ptCount val="14"/>
                <c:pt idx="0">
                  <c:v>0.16666666666666666</c:v>
                </c:pt>
                <c:pt idx="1">
                  <c:v>1.8333333333333333</c:v>
                </c:pt>
                <c:pt idx="2">
                  <c:v>3.833333333333333</c:v>
                </c:pt>
                <c:pt idx="3">
                  <c:v>6.833333333333333</c:v>
                </c:pt>
                <c:pt idx="4">
                  <c:v>9.8333333333333321</c:v>
                </c:pt>
                <c:pt idx="5">
                  <c:v>24</c:v>
                </c:pt>
                <c:pt idx="6">
                  <c:v>25.833333333333332</c:v>
                </c:pt>
                <c:pt idx="7">
                  <c:v>27.833333333333332</c:v>
                </c:pt>
                <c:pt idx="8">
                  <c:v>29.833333333333332</c:v>
                </c:pt>
                <c:pt idx="9">
                  <c:v>31.833333333333332</c:v>
                </c:pt>
                <c:pt idx="10">
                  <c:v>33.833333333333329</c:v>
                </c:pt>
                <c:pt idx="11">
                  <c:v>47.833333333333336</c:v>
                </c:pt>
                <c:pt idx="12">
                  <c:v>50.333333333333336</c:v>
                </c:pt>
                <c:pt idx="13">
                  <c:v>52.833333333333336</c:v>
                </c:pt>
              </c:numCache>
            </c:numRef>
          </c:xVal>
          <c:yVal>
            <c:numRef>
              <c:f>[5]Sheet1!$M$47:$M$60</c:f>
              <c:numCache>
                <c:formatCode>General</c:formatCode>
                <c:ptCount val="14"/>
                <c:pt idx="0">
                  <c:v>1.7793993005554412E-2</c:v>
                </c:pt>
                <c:pt idx="1">
                  <c:v>3.7207529314955773E-2</c:v>
                </c:pt>
                <c:pt idx="2">
                  <c:v>3.5407447027360622E-2</c:v>
                </c:pt>
                <c:pt idx="3">
                  <c:v>3.607278337790578E-2</c:v>
                </c:pt>
                <c:pt idx="4">
                  <c:v>3.6303353219502163E-2</c:v>
                </c:pt>
                <c:pt idx="5">
                  <c:v>2.8672166220942191E-2</c:v>
                </c:pt>
                <c:pt idx="6">
                  <c:v>2.9924459987656863E-2</c:v>
                </c:pt>
                <c:pt idx="7">
                  <c:v>3.1185887677432626E-2</c:v>
                </c:pt>
                <c:pt idx="8">
                  <c:v>2.9300802304052666E-2</c:v>
                </c:pt>
                <c:pt idx="9">
                  <c:v>2.8418144414729479E-2</c:v>
                </c:pt>
                <c:pt idx="10">
                  <c:v>2.7990578070355893E-2</c:v>
                </c:pt>
                <c:pt idx="11">
                  <c:v>2.8381485291092367E-2</c:v>
                </c:pt>
                <c:pt idx="12">
                  <c:v>2.7614523760543096E-2</c:v>
                </c:pt>
                <c:pt idx="13">
                  <c:v>2.7442254680106973E-2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BCF-4A63-A514-44057B1501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0337306440165148"/>
          <c:y val="4.5248596594464834E-2"/>
          <c:w val="0.16718504770060746"/>
          <c:h val="9.146337134904401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0"/>
          <c:order val="0"/>
          <c:tx>
            <c:v>Si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[5]Sheet1!$D$13:$D$27</c:f>
              <c:numCache>
                <c:formatCode>General</c:formatCode>
                <c:ptCount val="15"/>
                <c:pt idx="0">
                  <c:v>0</c:v>
                </c:pt>
                <c:pt idx="1">
                  <c:v>0.16666666666666666</c:v>
                </c:pt>
                <c:pt idx="2">
                  <c:v>1.8333333333333333</c:v>
                </c:pt>
                <c:pt idx="3">
                  <c:v>3.833333333333333</c:v>
                </c:pt>
                <c:pt idx="4">
                  <c:v>6.833333333333333</c:v>
                </c:pt>
                <c:pt idx="5">
                  <c:v>9.8333333333333321</c:v>
                </c:pt>
                <c:pt idx="6">
                  <c:v>24</c:v>
                </c:pt>
                <c:pt idx="7">
                  <c:v>25.833333333333332</c:v>
                </c:pt>
                <c:pt idx="8">
                  <c:v>27.833333333333332</c:v>
                </c:pt>
                <c:pt idx="9">
                  <c:v>29.833333333333332</c:v>
                </c:pt>
                <c:pt idx="10">
                  <c:v>31.833333333333332</c:v>
                </c:pt>
                <c:pt idx="11">
                  <c:v>33.833333333333329</c:v>
                </c:pt>
                <c:pt idx="12">
                  <c:v>47.833333333333336</c:v>
                </c:pt>
                <c:pt idx="13">
                  <c:v>50.333333333333336</c:v>
                </c:pt>
                <c:pt idx="14">
                  <c:v>52.833333333333336</c:v>
                </c:pt>
              </c:numCache>
            </c:numRef>
          </c:xVal>
          <c:yVal>
            <c:numRef>
              <c:f>[5]Sheet1!$O$13:$O$27</c:f>
              <c:numCache>
                <c:formatCode>General</c:formatCode>
                <c:ptCount val="15"/>
                <c:pt idx="0">
                  <c:v>-2.5349533954727031E-3</c:v>
                </c:pt>
                <c:pt idx="1">
                  <c:v>1.737683089214381E-2</c:v>
                </c:pt>
                <c:pt idx="2">
                  <c:v>4.609687083888149E-2</c:v>
                </c:pt>
                <c:pt idx="3">
                  <c:v>6.2674766977363516E-2</c:v>
                </c:pt>
                <c:pt idx="4">
                  <c:v>5.7663115845539278E-2</c:v>
                </c:pt>
                <c:pt idx="5">
                  <c:v>5.6188415446071907E-2</c:v>
                </c:pt>
                <c:pt idx="6">
                  <c:v>5.4444074567243678E-2</c:v>
                </c:pt>
                <c:pt idx="7">
                  <c:v>5.1050266311584554E-2</c:v>
                </c:pt>
                <c:pt idx="8">
                  <c:v>5.0324567243675102E-2</c:v>
                </c:pt>
                <c:pt idx="9">
                  <c:v>4.9745339547270312E-2</c:v>
                </c:pt>
                <c:pt idx="10">
                  <c:v>4.9390812250332893E-2</c:v>
                </c:pt>
                <c:pt idx="11">
                  <c:v>4.8335552596537948E-2</c:v>
                </c:pt>
                <c:pt idx="12">
                  <c:v>4.6760985352862855E-2</c:v>
                </c:pt>
                <c:pt idx="13">
                  <c:v>4.5138149134487354E-2</c:v>
                </c:pt>
                <c:pt idx="14">
                  <c:v>4.6176764314247672E-2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57B-4D41-A32E-3796503DCE1C}"/>
            </c:ext>
          </c:extLst>
        </c:ser>
        <c:ser>
          <c:idx val="1"/>
          <c:order val="1"/>
          <c:tx>
            <c:v>Si -Reactror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[5]Sheet1!$D$46:$D$60</c:f>
              <c:numCache>
                <c:formatCode>General</c:formatCode>
                <c:ptCount val="15"/>
                <c:pt idx="0">
                  <c:v>0</c:v>
                </c:pt>
                <c:pt idx="1">
                  <c:v>0.16666666666666666</c:v>
                </c:pt>
                <c:pt idx="2">
                  <c:v>1.8333333333333333</c:v>
                </c:pt>
                <c:pt idx="3">
                  <c:v>3.833333333333333</c:v>
                </c:pt>
                <c:pt idx="4">
                  <c:v>6.833333333333333</c:v>
                </c:pt>
                <c:pt idx="5">
                  <c:v>9.8333333333333321</c:v>
                </c:pt>
                <c:pt idx="6">
                  <c:v>24</c:v>
                </c:pt>
                <c:pt idx="7">
                  <c:v>25.833333333333332</c:v>
                </c:pt>
                <c:pt idx="8">
                  <c:v>27.833333333333332</c:v>
                </c:pt>
                <c:pt idx="9">
                  <c:v>29.833333333333332</c:v>
                </c:pt>
                <c:pt idx="10">
                  <c:v>31.833333333333332</c:v>
                </c:pt>
                <c:pt idx="11">
                  <c:v>33.833333333333329</c:v>
                </c:pt>
                <c:pt idx="12">
                  <c:v>47.833333333333336</c:v>
                </c:pt>
                <c:pt idx="13">
                  <c:v>50.333333333333336</c:v>
                </c:pt>
                <c:pt idx="14">
                  <c:v>52.833333333333336</c:v>
                </c:pt>
              </c:numCache>
            </c:numRef>
          </c:xVal>
          <c:yVal>
            <c:numRef>
              <c:f>[5]Sheet1!$O$46:$O$60</c:f>
              <c:numCache>
                <c:formatCode>General</c:formatCode>
                <c:ptCount val="15"/>
                <c:pt idx="0">
                  <c:v>-2.5349533954727031E-3</c:v>
                </c:pt>
                <c:pt idx="1">
                  <c:v>1.4710386151797605E-2</c:v>
                </c:pt>
                <c:pt idx="2">
                  <c:v>5.3272303595206398E-2</c:v>
                </c:pt>
                <c:pt idx="3">
                  <c:v>5.738681757656458E-2</c:v>
                </c:pt>
                <c:pt idx="4">
                  <c:v>6.1835885486018642E-2</c:v>
                </c:pt>
                <c:pt idx="5">
                  <c:v>5.9562250332889484E-2</c:v>
                </c:pt>
                <c:pt idx="6">
                  <c:v>5.2270306258322241E-2</c:v>
                </c:pt>
                <c:pt idx="7">
                  <c:v>5.4300932090545942E-2</c:v>
                </c:pt>
                <c:pt idx="8">
                  <c:v>5.3621837549933424E-2</c:v>
                </c:pt>
                <c:pt idx="9">
                  <c:v>5.2937749667110519E-2</c:v>
                </c:pt>
                <c:pt idx="10">
                  <c:v>5.1855858854860187E-2</c:v>
                </c:pt>
                <c:pt idx="11">
                  <c:v>5.085386151797603E-2</c:v>
                </c:pt>
                <c:pt idx="12">
                  <c:v>5.0902130492676431E-2</c:v>
                </c:pt>
                <c:pt idx="13">
                  <c:v>5.0928761651131825E-2</c:v>
                </c:pt>
                <c:pt idx="14">
                  <c:v>5.1060252996005327E-2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57B-4D41-A32E-3796503DC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1359118376587705"/>
          <c:y val="0.10784787443738207"/>
          <c:w val="0.15801195252284797"/>
          <c:h val="0.1032177001971139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1"/>
          <c:order val="0"/>
          <c:tx>
            <c:v>Mg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CC1FF"/>
              </a:solidFill>
              <a:ln w="9525">
                <a:solidFill>
                  <a:srgbClr val="FCC1FF"/>
                </a:solidFill>
              </a:ln>
              <a:effectLst/>
            </c:spPr>
          </c:marker>
          <c:xVal>
            <c:numRef>
              <c:f>[6]Sheet1!$D$13:$D$27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8.0833333333333339</c:v>
                </c:pt>
                <c:pt idx="4">
                  <c:v>23.666666666666668</c:v>
                </c:pt>
                <c:pt idx="5">
                  <c:v>27.666666666666668</c:v>
                </c:pt>
                <c:pt idx="6">
                  <c:v>31.666666666666668</c:v>
                </c:pt>
                <c:pt idx="7">
                  <c:v>47.666666666666671</c:v>
                </c:pt>
                <c:pt idx="8">
                  <c:v>50.166666666666671</c:v>
                </c:pt>
                <c:pt idx="9">
                  <c:v>52.666666666666671</c:v>
                </c:pt>
                <c:pt idx="10">
                  <c:v>55.166666666666671</c:v>
                </c:pt>
                <c:pt idx="11">
                  <c:v>71.166666666666671</c:v>
                </c:pt>
                <c:pt idx="12">
                  <c:v>73.166666666666671</c:v>
                </c:pt>
                <c:pt idx="13">
                  <c:v>75.166666666666671</c:v>
                </c:pt>
                <c:pt idx="14">
                  <c:v>77.166666666666671</c:v>
                </c:pt>
              </c:numCache>
            </c:numRef>
          </c:xVal>
          <c:yVal>
            <c:numRef>
              <c:f>[6]Sheet1!$M$13:$M$27</c:f>
              <c:numCache>
                <c:formatCode>General</c:formatCode>
                <c:ptCount val="15"/>
                <c:pt idx="0">
                  <c:v>3.1763011725982307E-5</c:v>
                </c:pt>
                <c:pt idx="1">
                  <c:v>3.8156058424192549E-2</c:v>
                </c:pt>
                <c:pt idx="2">
                  <c:v>5.3641226085167658E-2</c:v>
                </c:pt>
                <c:pt idx="3">
                  <c:v>5.8848385105945276E-2</c:v>
                </c:pt>
                <c:pt idx="4">
                  <c:v>5.4791606665295207E-2</c:v>
                </c:pt>
                <c:pt idx="5">
                  <c:v>5.3040526640608932E-2</c:v>
                </c:pt>
                <c:pt idx="6">
                  <c:v>5.1507508743056984E-2</c:v>
                </c:pt>
                <c:pt idx="7">
                  <c:v>4.7349927998354253E-2</c:v>
                </c:pt>
                <c:pt idx="8">
                  <c:v>4.7281629294383877E-2</c:v>
                </c:pt>
                <c:pt idx="9">
                  <c:v>4.6876362888294588E-2</c:v>
                </c:pt>
                <c:pt idx="10">
                  <c:v>4.6689981485291097E-2</c:v>
                </c:pt>
                <c:pt idx="11">
                  <c:v>4.5095659329356101E-2</c:v>
                </c:pt>
                <c:pt idx="12">
                  <c:v>4.4661592264966056E-2</c:v>
                </c:pt>
                <c:pt idx="13">
                  <c:v>4.3903723513680312E-2</c:v>
                </c:pt>
                <c:pt idx="14">
                  <c:v>4.21308372762806E-2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73A-48FF-BF44-BBB07A86C05D}"/>
            </c:ext>
          </c:extLst>
        </c:ser>
        <c:ser>
          <c:idx val="0"/>
          <c:order val="1"/>
          <c:tx>
            <c:v>Mg - Reactor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[6]Sheet1!$D$47:$D$60</c:f>
              <c:numCache>
                <c:formatCode>General</c:formatCode>
                <c:ptCount val="14"/>
                <c:pt idx="0">
                  <c:v>2</c:v>
                </c:pt>
                <c:pt idx="1">
                  <c:v>5</c:v>
                </c:pt>
                <c:pt idx="2">
                  <c:v>8.0833333333333339</c:v>
                </c:pt>
                <c:pt idx="3">
                  <c:v>23.666666666666668</c:v>
                </c:pt>
                <c:pt idx="4">
                  <c:v>27.666666666666668</c:v>
                </c:pt>
                <c:pt idx="5">
                  <c:v>31.666666666666668</c:v>
                </c:pt>
                <c:pt idx="6">
                  <c:v>47.666666666666671</c:v>
                </c:pt>
                <c:pt idx="7">
                  <c:v>50.166666666666671</c:v>
                </c:pt>
                <c:pt idx="8">
                  <c:v>52.666666666666671</c:v>
                </c:pt>
                <c:pt idx="9">
                  <c:v>55.166666666666671</c:v>
                </c:pt>
                <c:pt idx="10">
                  <c:v>71.166666666666671</c:v>
                </c:pt>
                <c:pt idx="11">
                  <c:v>73.166666666666671</c:v>
                </c:pt>
                <c:pt idx="12">
                  <c:v>75.166666666666671</c:v>
                </c:pt>
                <c:pt idx="13">
                  <c:v>77.166666666666671</c:v>
                </c:pt>
              </c:numCache>
            </c:numRef>
          </c:xVal>
          <c:yVal>
            <c:numRef>
              <c:f>[6]Sheet1!$M$47:$M$60</c:f>
              <c:numCache>
                <c:formatCode>General</c:formatCode>
                <c:ptCount val="14"/>
                <c:pt idx="0">
                  <c:v>2.91226085167661E-2</c:v>
                </c:pt>
                <c:pt idx="1">
                  <c:v>5.1460604813824321E-2</c:v>
                </c:pt>
                <c:pt idx="2">
                  <c:v>5.9165192347253655E-2</c:v>
                </c:pt>
                <c:pt idx="3">
                  <c:v>5.4090927792635267E-2</c:v>
                </c:pt>
                <c:pt idx="4">
                  <c:v>5.2584653363505457E-2</c:v>
                </c:pt>
                <c:pt idx="5">
                  <c:v>5.0684632791606662E-2</c:v>
                </c:pt>
                <c:pt idx="6">
                  <c:v>4.481917300966879E-2</c:v>
                </c:pt>
                <c:pt idx="7">
                  <c:v>4.4347253651512035E-2</c:v>
                </c:pt>
                <c:pt idx="8">
                  <c:v>4.3942810121374208E-2</c:v>
                </c:pt>
                <c:pt idx="9">
                  <c:v>4.3070973050812589E-2</c:v>
                </c:pt>
                <c:pt idx="10">
                  <c:v>4.0491133511623124E-2</c:v>
                </c:pt>
                <c:pt idx="11">
                  <c:v>3.9774655420695332E-2</c:v>
                </c:pt>
                <c:pt idx="12">
                  <c:v>3.9354001234313929E-2</c:v>
                </c:pt>
                <c:pt idx="13">
                  <c:v>3.9090557498457107E-2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3A-48FF-BF44-BBB07A86C0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0337306440165148"/>
          <c:y val="4.5248596594464834E-2"/>
          <c:w val="0.16718504770060746"/>
          <c:h val="9.146337134904401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0"/>
          <c:order val="0"/>
          <c:tx>
            <c:v>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[6]Sheet1!$D$13:$D$27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8.0833333333333339</c:v>
                </c:pt>
                <c:pt idx="4">
                  <c:v>23.666666666666668</c:v>
                </c:pt>
                <c:pt idx="5">
                  <c:v>27.666666666666668</c:v>
                </c:pt>
                <c:pt idx="6">
                  <c:v>31.666666666666668</c:v>
                </c:pt>
                <c:pt idx="7">
                  <c:v>47.666666666666671</c:v>
                </c:pt>
                <c:pt idx="8">
                  <c:v>50.166666666666671</c:v>
                </c:pt>
                <c:pt idx="9">
                  <c:v>52.666666666666671</c:v>
                </c:pt>
                <c:pt idx="10">
                  <c:v>55.166666666666671</c:v>
                </c:pt>
                <c:pt idx="11">
                  <c:v>71.166666666666671</c:v>
                </c:pt>
                <c:pt idx="12">
                  <c:v>73.166666666666671</c:v>
                </c:pt>
                <c:pt idx="13">
                  <c:v>75.166666666666671</c:v>
                </c:pt>
                <c:pt idx="14">
                  <c:v>77.166666666666671</c:v>
                </c:pt>
              </c:numCache>
            </c:numRef>
          </c:xVal>
          <c:yVal>
            <c:numRef>
              <c:f>[6]Sheet1!$O$13:$O$27</c:f>
              <c:numCache>
                <c:formatCode>General</c:formatCode>
                <c:ptCount val="15"/>
                <c:pt idx="0">
                  <c:v>-1.9274300932090546E-3</c:v>
                </c:pt>
                <c:pt idx="1">
                  <c:v>5.5782290279627167E-2</c:v>
                </c:pt>
                <c:pt idx="2">
                  <c:v>8.524134487350199E-2</c:v>
                </c:pt>
                <c:pt idx="3">
                  <c:v>9.8700066577896137E-2</c:v>
                </c:pt>
                <c:pt idx="4">
                  <c:v>9.6141810918774967E-2</c:v>
                </c:pt>
                <c:pt idx="5">
                  <c:v>9.4097869507323573E-2</c:v>
                </c:pt>
                <c:pt idx="6">
                  <c:v>9.2182090545938747E-2</c:v>
                </c:pt>
                <c:pt idx="7">
                  <c:v>8.7774633821571246E-2</c:v>
                </c:pt>
                <c:pt idx="8">
                  <c:v>8.6582889480692413E-2</c:v>
                </c:pt>
                <c:pt idx="9">
                  <c:v>8.5950399467376828E-2</c:v>
                </c:pt>
                <c:pt idx="10">
                  <c:v>8.6401464713715043E-2</c:v>
                </c:pt>
                <c:pt idx="11">
                  <c:v>8.2072237017310257E-2</c:v>
                </c:pt>
                <c:pt idx="12">
                  <c:v>8.1980692410119835E-2</c:v>
                </c:pt>
                <c:pt idx="13">
                  <c:v>8.1484687083888147E-2</c:v>
                </c:pt>
                <c:pt idx="14">
                  <c:v>8.1030292942742999E-2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10-4521-B9A6-C0D2D3E385B9}"/>
            </c:ext>
          </c:extLst>
        </c:ser>
        <c:ser>
          <c:idx val="1"/>
          <c:order val="1"/>
          <c:tx>
            <c:v>Reactror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[6]Sheet1!$D$46:$D$60</c:f>
              <c:numCache>
                <c:formatCode>General</c:formatCode>
                <c:ptCount val="15"/>
                <c:pt idx="0">
                  <c:v>0</c:v>
                </c:pt>
                <c:pt idx="1">
                  <c:v>2</c:v>
                </c:pt>
                <c:pt idx="2">
                  <c:v>5</c:v>
                </c:pt>
                <c:pt idx="3">
                  <c:v>8.0833333333333339</c:v>
                </c:pt>
                <c:pt idx="4">
                  <c:v>23.666666666666668</c:v>
                </c:pt>
                <c:pt idx="5">
                  <c:v>27.666666666666668</c:v>
                </c:pt>
                <c:pt idx="6">
                  <c:v>31.666666666666668</c:v>
                </c:pt>
                <c:pt idx="7">
                  <c:v>47.666666666666671</c:v>
                </c:pt>
                <c:pt idx="8">
                  <c:v>50.166666666666671</c:v>
                </c:pt>
                <c:pt idx="9">
                  <c:v>52.666666666666671</c:v>
                </c:pt>
                <c:pt idx="10">
                  <c:v>55.166666666666671</c:v>
                </c:pt>
                <c:pt idx="11">
                  <c:v>71.166666666666671</c:v>
                </c:pt>
                <c:pt idx="12">
                  <c:v>73.166666666666671</c:v>
                </c:pt>
                <c:pt idx="13">
                  <c:v>75.166666666666671</c:v>
                </c:pt>
                <c:pt idx="14">
                  <c:v>77.166666666666671</c:v>
                </c:pt>
              </c:numCache>
            </c:numRef>
          </c:xVal>
          <c:yVal>
            <c:numRef>
              <c:f>[6]Sheet1!$O$46:$O$60</c:f>
              <c:numCache>
                <c:formatCode>General</c:formatCode>
                <c:ptCount val="15"/>
                <c:pt idx="0">
                  <c:v>-1.9274300932090546E-3</c:v>
                </c:pt>
                <c:pt idx="1">
                  <c:v>3.5762316910785623E-2</c:v>
                </c:pt>
                <c:pt idx="2">
                  <c:v>8.4380825565912129E-2</c:v>
                </c:pt>
                <c:pt idx="3">
                  <c:v>9.7233688415446079E-2</c:v>
                </c:pt>
                <c:pt idx="4">
                  <c:v>9.6038615179760312E-2</c:v>
                </c:pt>
                <c:pt idx="5">
                  <c:v>9.6071904127829566E-2</c:v>
                </c:pt>
                <c:pt idx="6">
                  <c:v>9.1920772303595202E-2</c:v>
                </c:pt>
                <c:pt idx="7">
                  <c:v>8.3222370173102536E-2</c:v>
                </c:pt>
                <c:pt idx="8">
                  <c:v>8.1629494007989356E-2</c:v>
                </c:pt>
                <c:pt idx="9">
                  <c:v>8.1509653794940087E-2</c:v>
                </c:pt>
                <c:pt idx="10">
                  <c:v>8.1373169107856191E-2</c:v>
                </c:pt>
                <c:pt idx="11">
                  <c:v>7.6584553928095878E-2</c:v>
                </c:pt>
                <c:pt idx="12">
                  <c:v>7.5810585885486031E-2</c:v>
                </c:pt>
                <c:pt idx="13">
                  <c:v>7.6026964047936088E-2</c:v>
                </c:pt>
                <c:pt idx="14">
                  <c:v>7.6423102529960055E-2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10-4521-B9A6-C0D2D3E385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1359118376587705"/>
          <c:y val="0.10784787443738207"/>
          <c:w val="0.15801195252284797"/>
          <c:h val="0.1032177001971139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1"/>
          <c:order val="0"/>
          <c:tx>
            <c:v>Mg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CC1FF"/>
              </a:solidFill>
              <a:ln w="9525">
                <a:solidFill>
                  <a:srgbClr val="FCC1FF"/>
                </a:solidFill>
              </a:ln>
              <a:effectLst/>
            </c:spPr>
          </c:marker>
          <c:xVal>
            <c:numRef>
              <c:f>[7]Sheet1!$D$13:$D$26</c:f>
              <c:numCache>
                <c:formatCode>General</c:formatCode>
                <c:ptCount val="14"/>
                <c:pt idx="0">
                  <c:v>0.5</c:v>
                </c:pt>
                <c:pt idx="1">
                  <c:v>4.166666666666667</c:v>
                </c:pt>
                <c:pt idx="2">
                  <c:v>8</c:v>
                </c:pt>
                <c:pt idx="3">
                  <c:v>24.583333333333336</c:v>
                </c:pt>
                <c:pt idx="4">
                  <c:v>31.166666666666668</c:v>
                </c:pt>
                <c:pt idx="5">
                  <c:v>48.166666666666671</c:v>
                </c:pt>
                <c:pt idx="6">
                  <c:v>55.166666666666671</c:v>
                </c:pt>
                <c:pt idx="7">
                  <c:v>74.666666666666671</c:v>
                </c:pt>
                <c:pt idx="8">
                  <c:v>97.333333333333343</c:v>
                </c:pt>
                <c:pt idx="9">
                  <c:v>120.83333333333334</c:v>
                </c:pt>
                <c:pt idx="10">
                  <c:v>127.16666666666667</c:v>
                </c:pt>
                <c:pt idx="11">
                  <c:v>144.83333333333334</c:v>
                </c:pt>
                <c:pt idx="12">
                  <c:v>151.16666666666669</c:v>
                </c:pt>
                <c:pt idx="13">
                  <c:v>168.41666666666669</c:v>
                </c:pt>
              </c:numCache>
            </c:numRef>
          </c:xVal>
          <c:yVal>
            <c:numRef>
              <c:f>[7]Sheet1!$M$13:$M$26</c:f>
              <c:numCache>
                <c:formatCode>General</c:formatCode>
                <c:ptCount val="14"/>
                <c:pt idx="0">
                  <c:v>3.1813947747377079E-2</c:v>
                </c:pt>
                <c:pt idx="1">
                  <c:v>5.9713227730919562E-2</c:v>
                </c:pt>
                <c:pt idx="2">
                  <c:v>7.3645751902900639E-2</c:v>
                </c:pt>
                <c:pt idx="3">
                  <c:v>9.3028183501337181E-2</c:v>
                </c:pt>
                <c:pt idx="4">
                  <c:v>9.9447438798601101E-2</c:v>
                </c:pt>
                <c:pt idx="5">
                  <c:v>0.10175149146266201</c:v>
                </c:pt>
                <c:pt idx="6">
                  <c:v>0.10089158609339643</c:v>
                </c:pt>
                <c:pt idx="7">
                  <c:v>9.8930261263114591E-2</c:v>
                </c:pt>
                <c:pt idx="8">
                  <c:v>9.6558732771034772E-2</c:v>
                </c:pt>
                <c:pt idx="9">
                  <c:v>8.9538778029212091E-2</c:v>
                </c:pt>
                <c:pt idx="10">
                  <c:v>8.969059864225469E-2</c:v>
                </c:pt>
                <c:pt idx="11">
                  <c:v>8.8627442912980872E-2</c:v>
                </c:pt>
                <c:pt idx="12">
                  <c:v>8.4036617979839537E-2</c:v>
                </c:pt>
                <c:pt idx="13">
                  <c:v>8.3060687101419464E-2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DD7-4BB7-8DFC-C687A8E8509B}"/>
            </c:ext>
          </c:extLst>
        </c:ser>
        <c:ser>
          <c:idx val="0"/>
          <c:order val="1"/>
          <c:tx>
            <c:v>Mg - Reactor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[7]Sheet1!$D$46:$D$58</c:f>
              <c:numCache>
                <c:formatCode>General</c:formatCode>
                <c:ptCount val="13"/>
                <c:pt idx="0">
                  <c:v>4.166666666666667</c:v>
                </c:pt>
                <c:pt idx="1">
                  <c:v>8</c:v>
                </c:pt>
                <c:pt idx="2">
                  <c:v>24.583333333333336</c:v>
                </c:pt>
                <c:pt idx="3">
                  <c:v>31.166666666666668</c:v>
                </c:pt>
                <c:pt idx="4">
                  <c:v>48.166666666666671</c:v>
                </c:pt>
                <c:pt idx="5">
                  <c:v>55.166666666666671</c:v>
                </c:pt>
                <c:pt idx="6">
                  <c:v>74.666666666666671</c:v>
                </c:pt>
                <c:pt idx="7">
                  <c:v>97.333333333333343</c:v>
                </c:pt>
                <c:pt idx="8">
                  <c:v>120.83333333333334</c:v>
                </c:pt>
                <c:pt idx="9">
                  <c:v>127.16666666666667</c:v>
                </c:pt>
                <c:pt idx="10">
                  <c:v>144.83333333333334</c:v>
                </c:pt>
                <c:pt idx="11">
                  <c:v>151.16666666666669</c:v>
                </c:pt>
                <c:pt idx="12">
                  <c:v>168.41666666666669</c:v>
                </c:pt>
              </c:numCache>
            </c:numRef>
          </c:xVal>
          <c:yVal>
            <c:numRef>
              <c:f>[7]Sheet1!$M$46:$M$58</c:f>
              <c:numCache>
                <c:formatCode>General</c:formatCode>
                <c:ptCount val="13"/>
                <c:pt idx="1">
                  <c:v>7.0624562847150782E-2</c:v>
                </c:pt>
                <c:pt idx="2">
                  <c:v>9.5492285537955149E-2</c:v>
                </c:pt>
                <c:pt idx="3">
                  <c:v>9.2468627854350963E-2</c:v>
                </c:pt>
                <c:pt idx="4">
                  <c:v>9.5270520469039291E-2</c:v>
                </c:pt>
                <c:pt idx="5">
                  <c:v>9.9402592059247064E-2</c:v>
                </c:pt>
                <c:pt idx="6">
                  <c:v>9.6360008228759508E-2</c:v>
                </c:pt>
                <c:pt idx="7">
                  <c:v>9.0781320715902086E-2</c:v>
                </c:pt>
                <c:pt idx="8">
                  <c:v>8.7056572721662215E-2</c:v>
                </c:pt>
                <c:pt idx="9">
                  <c:v>8.6537337996297051E-2</c:v>
                </c:pt>
                <c:pt idx="10">
                  <c:v>8.352643488994034E-2</c:v>
                </c:pt>
                <c:pt idx="11">
                  <c:v>8.044764451758897E-2</c:v>
                </c:pt>
                <c:pt idx="12">
                  <c:v>8.063073441678667E-2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DD7-4BB7-8DFC-C687A8E850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0337306440165148"/>
          <c:y val="4.5248596594464834E-2"/>
          <c:w val="0.16718504770060746"/>
          <c:h val="9.146337134904401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2"/>
          <c:order val="0"/>
          <c:tx>
            <c:v>Si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'[1]SOLUTION COMP'!$D$56:$D$70</c:f>
              <c:numCache>
                <c:formatCode>General</c:formatCode>
                <c:ptCount val="15"/>
                <c:pt idx="0">
                  <c:v>0.5</c:v>
                </c:pt>
                <c:pt idx="1">
                  <c:v>3.5</c:v>
                </c:pt>
                <c:pt idx="2">
                  <c:v>6.5</c:v>
                </c:pt>
                <c:pt idx="3">
                  <c:v>9.5</c:v>
                </c:pt>
                <c:pt idx="4">
                  <c:v>27.5</c:v>
                </c:pt>
                <c:pt idx="5">
                  <c:v>51.75</c:v>
                </c:pt>
                <c:pt idx="6">
                  <c:v>54.25</c:v>
                </c:pt>
                <c:pt idx="7">
                  <c:v>56.833333333333336</c:v>
                </c:pt>
                <c:pt idx="8">
                  <c:v>75.25</c:v>
                </c:pt>
                <c:pt idx="9">
                  <c:v>77.75</c:v>
                </c:pt>
                <c:pt idx="10">
                  <c:v>80.333333333333329</c:v>
                </c:pt>
                <c:pt idx="11">
                  <c:v>96.25</c:v>
                </c:pt>
                <c:pt idx="12">
                  <c:v>100.16666666666667</c:v>
                </c:pt>
                <c:pt idx="13">
                  <c:v>103.08333333333334</c:v>
                </c:pt>
                <c:pt idx="14">
                  <c:v>106.25000000000001</c:v>
                </c:pt>
              </c:numCache>
            </c:numRef>
          </c:xVal>
          <c:yVal>
            <c:numRef>
              <c:f>'[1]SOLUTION COMP'!$T$56:$T$70</c:f>
              <c:numCache>
                <c:formatCode>General</c:formatCode>
                <c:ptCount val="15"/>
                <c:pt idx="0">
                  <c:v>2.5178246919416885</c:v>
                </c:pt>
                <c:pt idx="1">
                  <c:v>2.4376636706613404</c:v>
                </c:pt>
                <c:pt idx="2">
                  <c:v>2.3913746871706345</c:v>
                </c:pt>
                <c:pt idx="3">
                  <c:v>2.3638160620769755</c:v>
                </c:pt>
                <c:pt idx="4">
                  <c:v>2.3254715111034745</c:v>
                </c:pt>
                <c:pt idx="5">
                  <c:v>2.3287771622485809</c:v>
                </c:pt>
                <c:pt idx="6">
                  <c:v>2.313482153245511</c:v>
                </c:pt>
                <c:pt idx="7">
                  <c:v>2.3265937690143832</c:v>
                </c:pt>
                <c:pt idx="8">
                  <c:v>2.3434773931787318</c:v>
                </c:pt>
                <c:pt idx="9">
                  <c:v>2.2949508463780575</c:v>
                </c:pt>
                <c:pt idx="10">
                  <c:v>2.2780036811759081</c:v>
                </c:pt>
                <c:pt idx="12">
                  <c:v>2.2674177412572711</c:v>
                </c:pt>
                <c:pt idx="13">
                  <c:v>2.3185621785331976</c:v>
                </c:pt>
                <c:pt idx="14">
                  <c:v>2.3136369748044951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573-4ADC-B41D-5842486C6EA4}"/>
            </c:ext>
          </c:extLst>
        </c:ser>
        <c:ser>
          <c:idx val="3"/>
          <c:order val="1"/>
          <c:tx>
            <c:v>Si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'[1]SOLUTION COMP'!$D$36:$D$39</c:f>
              <c:numCache>
                <c:formatCode>General</c:formatCode>
                <c:ptCount val="4"/>
                <c:pt idx="0">
                  <c:v>0</c:v>
                </c:pt>
                <c:pt idx="1">
                  <c:v>52.166666666666664</c:v>
                </c:pt>
                <c:pt idx="2">
                  <c:v>75.416666666666657</c:v>
                </c:pt>
                <c:pt idx="3">
                  <c:v>100.91666666666666</c:v>
                </c:pt>
              </c:numCache>
            </c:numRef>
          </c:xVal>
          <c:yVal>
            <c:numRef>
              <c:f>'[1]SOLUTION COMP'!$Q$36:$Q$39</c:f>
              <c:numCache>
                <c:formatCode>General</c:formatCode>
                <c:ptCount val="4"/>
                <c:pt idx="0">
                  <c:v>2.525137316910786</c:v>
                </c:pt>
                <c:pt idx="1">
                  <c:v>2.4989207841925052</c:v>
                </c:pt>
                <c:pt idx="2">
                  <c:v>2.5006228167637961</c:v>
                </c:pt>
                <c:pt idx="3">
                  <c:v>2.4976317361165505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573-4ADC-B41D-5842486C6E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0"/>
          <c:order val="0"/>
          <c:tx>
            <c:v>Si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[7]Sheet1!$D$13:$D$26</c:f>
              <c:numCache>
                <c:formatCode>General</c:formatCode>
                <c:ptCount val="14"/>
                <c:pt idx="0">
                  <c:v>0.5</c:v>
                </c:pt>
                <c:pt idx="1">
                  <c:v>4.166666666666667</c:v>
                </c:pt>
                <c:pt idx="2">
                  <c:v>8</c:v>
                </c:pt>
                <c:pt idx="3">
                  <c:v>24.583333333333336</c:v>
                </c:pt>
                <c:pt idx="4">
                  <c:v>31.166666666666668</c:v>
                </c:pt>
                <c:pt idx="5">
                  <c:v>48.166666666666671</c:v>
                </c:pt>
                <c:pt idx="6">
                  <c:v>55.166666666666671</c:v>
                </c:pt>
                <c:pt idx="7">
                  <c:v>74.666666666666671</c:v>
                </c:pt>
                <c:pt idx="8">
                  <c:v>97.333333333333343</c:v>
                </c:pt>
                <c:pt idx="9">
                  <c:v>120.83333333333334</c:v>
                </c:pt>
                <c:pt idx="10">
                  <c:v>127.16666666666667</c:v>
                </c:pt>
                <c:pt idx="11">
                  <c:v>144.83333333333334</c:v>
                </c:pt>
                <c:pt idx="12">
                  <c:v>151.16666666666669</c:v>
                </c:pt>
                <c:pt idx="13">
                  <c:v>168.41666666666669</c:v>
                </c:pt>
              </c:numCache>
            </c:numRef>
          </c:xVal>
          <c:yVal>
            <c:numRef>
              <c:f>[7]Sheet1!$O$13:$O$26</c:f>
              <c:numCache>
                <c:formatCode>General</c:formatCode>
                <c:ptCount val="14"/>
                <c:pt idx="0">
                  <c:v>3.3114181091877498E-2</c:v>
                </c:pt>
                <c:pt idx="1">
                  <c:v>8.3988015978695083E-2</c:v>
                </c:pt>
                <c:pt idx="2">
                  <c:v>0.10874167776298269</c:v>
                </c:pt>
                <c:pt idx="3">
                  <c:v>0.15475199733688416</c:v>
                </c:pt>
                <c:pt idx="4">
                  <c:v>0.16159953395472704</c:v>
                </c:pt>
                <c:pt idx="5">
                  <c:v>0.17234853528628494</c:v>
                </c:pt>
                <c:pt idx="7">
                  <c:v>0.17568242343541945</c:v>
                </c:pt>
                <c:pt idx="8">
                  <c:v>0.17120173102529962</c:v>
                </c:pt>
                <c:pt idx="9">
                  <c:v>0.16884320905459388</c:v>
                </c:pt>
                <c:pt idx="10">
                  <c:v>0.16659786950732358</c:v>
                </c:pt>
                <c:pt idx="11">
                  <c:v>0.16507822902796271</c:v>
                </c:pt>
                <c:pt idx="12">
                  <c:v>0.16509986684420772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430-40EC-9133-F275386D890E}"/>
            </c:ext>
          </c:extLst>
        </c:ser>
        <c:ser>
          <c:idx val="1"/>
          <c:order val="1"/>
          <c:tx>
            <c:v>Si -Reactror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[7]Sheet1!$D$45:$D$58</c:f>
              <c:numCache>
                <c:formatCode>General</c:formatCode>
                <c:ptCount val="14"/>
                <c:pt idx="0">
                  <c:v>0.5</c:v>
                </c:pt>
                <c:pt idx="1">
                  <c:v>4.166666666666667</c:v>
                </c:pt>
                <c:pt idx="2">
                  <c:v>8</c:v>
                </c:pt>
                <c:pt idx="3">
                  <c:v>24.583333333333336</c:v>
                </c:pt>
                <c:pt idx="4">
                  <c:v>31.166666666666668</c:v>
                </c:pt>
                <c:pt idx="5">
                  <c:v>48.166666666666671</c:v>
                </c:pt>
                <c:pt idx="6">
                  <c:v>55.166666666666671</c:v>
                </c:pt>
                <c:pt idx="7">
                  <c:v>74.666666666666671</c:v>
                </c:pt>
                <c:pt idx="8">
                  <c:v>97.333333333333343</c:v>
                </c:pt>
                <c:pt idx="9">
                  <c:v>120.83333333333334</c:v>
                </c:pt>
                <c:pt idx="10">
                  <c:v>127.16666666666667</c:v>
                </c:pt>
                <c:pt idx="11">
                  <c:v>144.83333333333334</c:v>
                </c:pt>
                <c:pt idx="12">
                  <c:v>151.16666666666669</c:v>
                </c:pt>
                <c:pt idx="13">
                  <c:v>168.41666666666669</c:v>
                </c:pt>
              </c:numCache>
            </c:numRef>
          </c:xVal>
          <c:yVal>
            <c:numRef>
              <c:f>[7]Sheet1!$O$45:$O$58</c:f>
              <c:numCache>
                <c:formatCode>General</c:formatCode>
                <c:ptCount val="14"/>
                <c:pt idx="0">
                  <c:v>2.2857856191744342E-2</c:v>
                </c:pt>
                <c:pt idx="2">
                  <c:v>0.10719041278295607</c:v>
                </c:pt>
                <c:pt idx="3">
                  <c:v>0.15625665778961387</c:v>
                </c:pt>
                <c:pt idx="4">
                  <c:v>0.16121338215712386</c:v>
                </c:pt>
                <c:pt idx="5">
                  <c:v>0.16865845539280958</c:v>
                </c:pt>
                <c:pt idx="7">
                  <c:v>0.16920272969374167</c:v>
                </c:pt>
                <c:pt idx="8">
                  <c:v>0.16503328894806926</c:v>
                </c:pt>
                <c:pt idx="9">
                  <c:v>0.16038948069241013</c:v>
                </c:pt>
                <c:pt idx="10">
                  <c:v>0.15937416777629829</c:v>
                </c:pt>
                <c:pt idx="11">
                  <c:v>0.15680093209054594</c:v>
                </c:pt>
                <c:pt idx="12">
                  <c:v>0.1552247003994674</c:v>
                </c:pt>
                <c:pt idx="13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430-40EC-9133-F275386D89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3239464297732015"/>
          <c:y val="0.69943936062046297"/>
          <c:w val="0.15801195252284797"/>
          <c:h val="0.1032177001971139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1"/>
          <c:order val="0"/>
          <c:tx>
            <c:v>Mg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CC1FF"/>
              </a:solidFill>
              <a:ln w="9525">
                <a:solidFill>
                  <a:srgbClr val="FCC1FF"/>
                </a:solidFill>
              </a:ln>
              <a:effectLst/>
            </c:spPr>
          </c:marker>
          <c:xVal>
            <c:numRef>
              <c:f>[8]Sheet1!$D$13:$D$26</c:f>
              <c:numCache>
                <c:formatCode>General</c:formatCode>
                <c:ptCount val="14"/>
                <c:pt idx="0">
                  <c:v>1</c:v>
                </c:pt>
                <c:pt idx="1">
                  <c:v>25</c:v>
                </c:pt>
                <c:pt idx="2">
                  <c:v>1</c:v>
                </c:pt>
                <c:pt idx="3">
                  <c:v>25</c:v>
                </c:pt>
                <c:pt idx="4">
                  <c:v>49</c:v>
                </c:pt>
                <c:pt idx="5">
                  <c:v>73</c:v>
                </c:pt>
                <c:pt idx="6">
                  <c:v>121.91666666666667</c:v>
                </c:pt>
                <c:pt idx="7">
                  <c:v>145</c:v>
                </c:pt>
                <c:pt idx="8">
                  <c:v>170</c:v>
                </c:pt>
                <c:pt idx="9">
                  <c:v>194.75</c:v>
                </c:pt>
                <c:pt idx="10">
                  <c:v>216.25</c:v>
                </c:pt>
                <c:pt idx="11">
                  <c:v>266.25</c:v>
                </c:pt>
                <c:pt idx="12">
                  <c:v>288.83333333333331</c:v>
                </c:pt>
                <c:pt idx="13">
                  <c:v>312.41666666666663</c:v>
                </c:pt>
              </c:numCache>
            </c:numRef>
          </c:xVal>
          <c:yVal>
            <c:numRef>
              <c:f>[8]Sheet1!$M$13:$M$26</c:f>
              <c:numCache>
                <c:formatCode>General</c:formatCode>
                <c:ptCount val="14"/>
                <c:pt idx="0">
                  <c:v>0</c:v>
                </c:pt>
                <c:pt idx="1">
                  <c:v>0.14003209216210658</c:v>
                </c:pt>
                <c:pt idx="2">
                  <c:v>7.5720222176506882E-2</c:v>
                </c:pt>
                <c:pt idx="3">
                  <c:v>2.3162723719399301E-3</c:v>
                </c:pt>
                <c:pt idx="4">
                  <c:v>0.12685455667558115</c:v>
                </c:pt>
                <c:pt idx="5">
                  <c:v>0.12804032092162107</c:v>
                </c:pt>
                <c:pt idx="6">
                  <c:v>0.1355519440444353</c:v>
                </c:pt>
                <c:pt idx="7">
                  <c:v>0.13201645751902902</c:v>
                </c:pt>
                <c:pt idx="8">
                  <c:v>0.12566920386751698</c:v>
                </c:pt>
                <c:pt idx="9">
                  <c:v>0.13141205513268875</c:v>
                </c:pt>
                <c:pt idx="10">
                  <c:v>0.13004196667352397</c:v>
                </c:pt>
                <c:pt idx="11">
                  <c:v>0.12186669409586505</c:v>
                </c:pt>
                <c:pt idx="12">
                  <c:v>0.12270602756634437</c:v>
                </c:pt>
                <c:pt idx="13">
                  <c:v>0.1220995679901255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3F3-4776-9A84-55BD3404623F}"/>
            </c:ext>
          </c:extLst>
        </c:ser>
        <c:ser>
          <c:idx val="0"/>
          <c:order val="1"/>
          <c:tx>
            <c:v>Mg - Reactor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[8]Sheet1!$D$46:$D$58</c:f>
              <c:numCache>
                <c:formatCode>General</c:formatCode>
                <c:ptCount val="13"/>
                <c:pt idx="0">
                  <c:v>25</c:v>
                </c:pt>
                <c:pt idx="1">
                  <c:v>1</c:v>
                </c:pt>
                <c:pt idx="2">
                  <c:v>25</c:v>
                </c:pt>
                <c:pt idx="3">
                  <c:v>49</c:v>
                </c:pt>
                <c:pt idx="4">
                  <c:v>73</c:v>
                </c:pt>
                <c:pt idx="5">
                  <c:v>121.91666666666667</c:v>
                </c:pt>
                <c:pt idx="6">
                  <c:v>145</c:v>
                </c:pt>
                <c:pt idx="7">
                  <c:v>170</c:v>
                </c:pt>
                <c:pt idx="8">
                  <c:v>194.75</c:v>
                </c:pt>
                <c:pt idx="9">
                  <c:v>216.25</c:v>
                </c:pt>
                <c:pt idx="10">
                  <c:v>266.25</c:v>
                </c:pt>
                <c:pt idx="11">
                  <c:v>288.83333333333331</c:v>
                </c:pt>
                <c:pt idx="12">
                  <c:v>312.41666666666663</c:v>
                </c:pt>
              </c:numCache>
            </c:numRef>
          </c:xVal>
          <c:yVal>
            <c:numRef>
              <c:f>[8]Sheet1!$M$46:$M$58</c:f>
              <c:numCache>
                <c:formatCode>General</c:formatCode>
                <c:ptCount val="13"/>
                <c:pt idx="0">
                  <c:v>0.13543056984159638</c:v>
                </c:pt>
                <c:pt idx="1">
                  <c:v>0.13856984159637933</c:v>
                </c:pt>
                <c:pt idx="2">
                  <c:v>0.14540670643900433</c:v>
                </c:pt>
                <c:pt idx="3">
                  <c:v>0.14720921621065625</c:v>
                </c:pt>
                <c:pt idx="4">
                  <c:v>0.14462085990536927</c:v>
                </c:pt>
                <c:pt idx="5">
                  <c:v>0.1389923883974491</c:v>
                </c:pt>
                <c:pt idx="6">
                  <c:v>0.13431145854762394</c:v>
                </c:pt>
                <c:pt idx="7">
                  <c:v>0.1355844476445176</c:v>
                </c:pt>
                <c:pt idx="8">
                  <c:v>0.12883851059452786</c:v>
                </c:pt>
                <c:pt idx="9">
                  <c:v>0.12519029006377289</c:v>
                </c:pt>
                <c:pt idx="10">
                  <c:v>0.11922361653980663</c:v>
                </c:pt>
                <c:pt idx="11">
                  <c:v>0.11708660769389015</c:v>
                </c:pt>
                <c:pt idx="12">
                  <c:v>0.11473770829047521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3F3-4776-9A84-55BD340462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0337306440165148"/>
          <c:y val="4.5248596594464834E-2"/>
          <c:w val="0.16718504770060746"/>
          <c:h val="9.146337134904401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0"/>
          <c:order val="0"/>
          <c:tx>
            <c:v>Si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[8]Sheet1!$D$13:$D$27</c:f>
              <c:numCache>
                <c:formatCode>General</c:formatCode>
                <c:ptCount val="15"/>
                <c:pt idx="0">
                  <c:v>1</c:v>
                </c:pt>
                <c:pt idx="1">
                  <c:v>25</c:v>
                </c:pt>
                <c:pt idx="2">
                  <c:v>1</c:v>
                </c:pt>
                <c:pt idx="3">
                  <c:v>25</c:v>
                </c:pt>
                <c:pt idx="4">
                  <c:v>49</c:v>
                </c:pt>
                <c:pt idx="5">
                  <c:v>73</c:v>
                </c:pt>
                <c:pt idx="6">
                  <c:v>121.91666666666667</c:v>
                </c:pt>
                <c:pt idx="7">
                  <c:v>145</c:v>
                </c:pt>
                <c:pt idx="8">
                  <c:v>170</c:v>
                </c:pt>
                <c:pt idx="9">
                  <c:v>194.75</c:v>
                </c:pt>
                <c:pt idx="10">
                  <c:v>216.25</c:v>
                </c:pt>
                <c:pt idx="11">
                  <c:v>266.25</c:v>
                </c:pt>
                <c:pt idx="12">
                  <c:v>288.83333333333331</c:v>
                </c:pt>
                <c:pt idx="13">
                  <c:v>312.41666666666663</c:v>
                </c:pt>
                <c:pt idx="14">
                  <c:v>335.41666666666663</c:v>
                </c:pt>
              </c:numCache>
            </c:numRef>
          </c:xVal>
          <c:yVal>
            <c:numRef>
              <c:f>[8]Sheet1!$O$13:$O$27</c:f>
              <c:numCache>
                <c:formatCode>General</c:formatCode>
                <c:ptCount val="15"/>
                <c:pt idx="0">
                  <c:v>0</c:v>
                </c:pt>
                <c:pt idx="1">
                  <c:v>0.26611276281355151</c:v>
                </c:pt>
                <c:pt idx="2">
                  <c:v>0.13721956169553684</c:v>
                </c:pt>
                <c:pt idx="3">
                  <c:v>4.4532944045859958E-3</c:v>
                </c:pt>
                <c:pt idx="4">
                  <c:v>0.25445300956009331</c:v>
                </c:pt>
                <c:pt idx="5">
                  <c:v>0.26741094158907619</c:v>
                </c:pt>
                <c:pt idx="6">
                  <c:v>0.29352940129248184</c:v>
                </c:pt>
                <c:pt idx="7">
                  <c:v>0.2902868027985972</c:v>
                </c:pt>
                <c:pt idx="8">
                  <c:v>0.28042655462783289</c:v>
                </c:pt>
                <c:pt idx="9">
                  <c:v>0.29147318011073331</c:v>
                </c:pt>
                <c:pt idx="10">
                  <c:v>0.28637766819177157</c:v>
                </c:pt>
                <c:pt idx="11">
                  <c:v>0.28290470171440779</c:v>
                </c:pt>
                <c:pt idx="12">
                  <c:v>0.27302522654038563</c:v>
                </c:pt>
                <c:pt idx="13">
                  <c:v>0.26847590393619486</c:v>
                </c:pt>
                <c:pt idx="14">
                  <c:v>0.26863043207348991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24F-4741-BD7E-A368C4C32B3E}"/>
            </c:ext>
          </c:extLst>
        </c:ser>
        <c:ser>
          <c:idx val="1"/>
          <c:order val="1"/>
          <c:tx>
            <c:v>Si -Reactror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[8]Sheet1!$D$45:$D$59</c:f>
              <c:numCache>
                <c:formatCode>General</c:formatCode>
                <c:ptCount val="15"/>
                <c:pt idx="0">
                  <c:v>1</c:v>
                </c:pt>
                <c:pt idx="1">
                  <c:v>25</c:v>
                </c:pt>
                <c:pt idx="2">
                  <c:v>1</c:v>
                </c:pt>
                <c:pt idx="3">
                  <c:v>25</c:v>
                </c:pt>
                <c:pt idx="4">
                  <c:v>49</c:v>
                </c:pt>
                <c:pt idx="5">
                  <c:v>73</c:v>
                </c:pt>
                <c:pt idx="6">
                  <c:v>121.91666666666667</c:v>
                </c:pt>
                <c:pt idx="7">
                  <c:v>145</c:v>
                </c:pt>
                <c:pt idx="8">
                  <c:v>170</c:v>
                </c:pt>
                <c:pt idx="9">
                  <c:v>194.75</c:v>
                </c:pt>
                <c:pt idx="10">
                  <c:v>216.25</c:v>
                </c:pt>
                <c:pt idx="11">
                  <c:v>266.25</c:v>
                </c:pt>
                <c:pt idx="12">
                  <c:v>288.83333333333331</c:v>
                </c:pt>
                <c:pt idx="13">
                  <c:v>312.41666666666663</c:v>
                </c:pt>
                <c:pt idx="14">
                  <c:v>335.41666666666663</c:v>
                </c:pt>
              </c:numCache>
            </c:numRef>
          </c:xVal>
          <c:yVal>
            <c:numRef>
              <c:f>[8]Sheet1!$O$45:$O$59</c:f>
              <c:numCache>
                <c:formatCode>General</c:formatCode>
                <c:ptCount val="15"/>
                <c:pt idx="0">
                  <c:v>0.11902262733438963</c:v>
                </c:pt>
                <c:pt idx="1">
                  <c:v>0.25523170319203858</c:v>
                </c:pt>
                <c:pt idx="2">
                  <c:v>0.26878852076694382</c:v>
                </c:pt>
                <c:pt idx="3">
                  <c:v>0.29366256609282371</c:v>
                </c:pt>
                <c:pt idx="4">
                  <c:v>0.31181499350198499</c:v>
                </c:pt>
                <c:pt idx="5">
                  <c:v>0.30477897847643803</c:v>
                </c:pt>
                <c:pt idx="6">
                  <c:v>0.3050997845863524</c:v>
                </c:pt>
                <c:pt idx="7">
                  <c:v>0.30263766000249237</c:v>
                </c:pt>
                <c:pt idx="8">
                  <c:v>0.29935731961332362</c:v>
                </c:pt>
                <c:pt idx="9">
                  <c:v>0.29122928201385057</c:v>
                </c:pt>
                <c:pt idx="10">
                  <c:v>0.28340958857773585</c:v>
                </c:pt>
                <c:pt idx="11">
                  <c:v>0.27362482419753964</c:v>
                </c:pt>
                <c:pt idx="12">
                  <c:v>0.26697263712591907</c:v>
                </c:pt>
                <c:pt idx="13">
                  <c:v>0.2585650958679746</c:v>
                </c:pt>
                <c:pt idx="14">
                  <c:v>0.25415855156575456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24F-4741-BD7E-A368C4C32B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3239464297732015"/>
          <c:y val="0.69943936062046297"/>
          <c:w val="0.15801195252284797"/>
          <c:h val="0.1032177001971139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1"/>
          <c:order val="0"/>
          <c:tx>
            <c:v>Mg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[9]Sheet1!$D$17:$D$29</c:f>
              <c:numCache>
                <c:formatCode>General</c:formatCode>
                <c:ptCount val="13"/>
                <c:pt idx="0">
                  <c:v>0.5</c:v>
                </c:pt>
                <c:pt idx="1">
                  <c:v>7.0857142857142854</c:v>
                </c:pt>
                <c:pt idx="2">
                  <c:v>24.583333333333332</c:v>
                </c:pt>
                <c:pt idx="3">
                  <c:v>30.5</c:v>
                </c:pt>
                <c:pt idx="4">
                  <c:v>51.249999999999993</c:v>
                </c:pt>
                <c:pt idx="5">
                  <c:v>78.583333333333329</c:v>
                </c:pt>
                <c:pt idx="6">
                  <c:v>99.833333333333329</c:v>
                </c:pt>
                <c:pt idx="7">
                  <c:v>126.33333333333333</c:v>
                </c:pt>
                <c:pt idx="8">
                  <c:v>145.74999999999997</c:v>
                </c:pt>
                <c:pt idx="9">
                  <c:v>151.24999999999997</c:v>
                </c:pt>
                <c:pt idx="10">
                  <c:v>168</c:v>
                </c:pt>
                <c:pt idx="11">
                  <c:v>174</c:v>
                </c:pt>
                <c:pt idx="12">
                  <c:v>194.24999999999997</c:v>
                </c:pt>
              </c:numCache>
            </c:numRef>
          </c:xVal>
          <c:yVal>
            <c:numRef>
              <c:f>[9]Sheet1!$M$17:$M$29</c:f>
              <c:numCache>
                <c:formatCode>General</c:formatCode>
                <c:ptCount val="13"/>
                <c:pt idx="0">
                  <c:v>4.0237358568195845E-2</c:v>
                </c:pt>
                <c:pt idx="1">
                  <c:v>7.2700267434684218E-2</c:v>
                </c:pt>
                <c:pt idx="2">
                  <c:v>9.1669203867516966E-2</c:v>
                </c:pt>
                <c:pt idx="3">
                  <c:v>9.545978193787287E-2</c:v>
                </c:pt>
                <c:pt idx="4">
                  <c:v>0.10114256325858878</c:v>
                </c:pt>
                <c:pt idx="5">
                  <c:v>0.10338325447438798</c:v>
                </c:pt>
                <c:pt idx="6">
                  <c:v>0.10314297469656449</c:v>
                </c:pt>
                <c:pt idx="7">
                  <c:v>9.1664266611808265E-2</c:v>
                </c:pt>
                <c:pt idx="8">
                  <c:v>9.2266611808269908E-2</c:v>
                </c:pt>
                <c:pt idx="9">
                  <c:v>0.12663320304464101</c:v>
                </c:pt>
                <c:pt idx="10">
                  <c:v>8.9167249537132273E-2</c:v>
                </c:pt>
                <c:pt idx="11">
                  <c:v>9.5708290475210858E-2</c:v>
                </c:pt>
                <c:pt idx="12">
                  <c:v>8.9559761365974086E-2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3BF-47D1-9808-0509BAAA6D66}"/>
            </c:ext>
          </c:extLst>
        </c:ser>
        <c:ser>
          <c:idx val="0"/>
          <c:order val="1"/>
          <c:tx>
            <c:v>Mg - Reactor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[9]Sheet1!$D$47:$D$59</c:f>
              <c:numCache>
                <c:formatCode>General</c:formatCode>
                <c:ptCount val="13"/>
                <c:pt idx="0">
                  <c:v>0.5</c:v>
                </c:pt>
                <c:pt idx="1">
                  <c:v>7.0857142857142854</c:v>
                </c:pt>
                <c:pt idx="2">
                  <c:v>24.583333333333332</c:v>
                </c:pt>
                <c:pt idx="3">
                  <c:v>30.5</c:v>
                </c:pt>
                <c:pt idx="4">
                  <c:v>51.249999999999993</c:v>
                </c:pt>
                <c:pt idx="5">
                  <c:v>78.583333333333329</c:v>
                </c:pt>
                <c:pt idx="6">
                  <c:v>99.833333333333329</c:v>
                </c:pt>
                <c:pt idx="7">
                  <c:v>126.33333333333333</c:v>
                </c:pt>
                <c:pt idx="8">
                  <c:v>145.74999999999997</c:v>
                </c:pt>
                <c:pt idx="9">
                  <c:v>151.24999999999997</c:v>
                </c:pt>
                <c:pt idx="10">
                  <c:v>168</c:v>
                </c:pt>
                <c:pt idx="11">
                  <c:v>174</c:v>
                </c:pt>
                <c:pt idx="12">
                  <c:v>194.24999999999997</c:v>
                </c:pt>
              </c:numCache>
            </c:numRef>
          </c:xVal>
          <c:yVal>
            <c:numRef>
              <c:f>[9]Sheet1!$M$47:$M$59</c:f>
              <c:numCache>
                <c:formatCode>General</c:formatCode>
                <c:ptCount val="13"/>
                <c:pt idx="0">
                  <c:v>4.0499526846327918E-2</c:v>
                </c:pt>
                <c:pt idx="1">
                  <c:v>6.9589796338202017E-2</c:v>
                </c:pt>
                <c:pt idx="2">
                  <c:v>8.9647397654803535E-2</c:v>
                </c:pt>
                <c:pt idx="3">
                  <c:v>9.3647809092779269E-2</c:v>
                </c:pt>
                <c:pt idx="4">
                  <c:v>9.6865665500925735E-2</c:v>
                </c:pt>
                <c:pt idx="5">
                  <c:v>0.10020037029417815</c:v>
                </c:pt>
                <c:pt idx="6">
                  <c:v>0.10425714873482823</c:v>
                </c:pt>
                <c:pt idx="7">
                  <c:v>9.6874305698415972E-2</c:v>
                </c:pt>
                <c:pt idx="8">
                  <c:v>9.2464924912569427E-2</c:v>
                </c:pt>
                <c:pt idx="9">
                  <c:v>0.13491915243777</c:v>
                </c:pt>
                <c:pt idx="10">
                  <c:v>9.5021189055749841E-2</c:v>
                </c:pt>
                <c:pt idx="11">
                  <c:v>0.10146924501131453</c:v>
                </c:pt>
                <c:pt idx="12">
                  <c:v>9.8007405883563062E-2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3BF-47D1-9808-0509BAAA6D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0337306440165148"/>
          <c:y val="4.5248596594464834E-2"/>
          <c:w val="0.16718504770060746"/>
          <c:h val="0.1245615865060486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0"/>
          <c:order val="0"/>
          <c:tx>
            <c:v>Si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[9]Sheet1!$D$17:$D$29</c:f>
              <c:numCache>
                <c:formatCode>General</c:formatCode>
                <c:ptCount val="13"/>
                <c:pt idx="0">
                  <c:v>0.5</c:v>
                </c:pt>
                <c:pt idx="1">
                  <c:v>7.0857142857142854</c:v>
                </c:pt>
                <c:pt idx="2">
                  <c:v>24.583333333333332</c:v>
                </c:pt>
                <c:pt idx="3">
                  <c:v>30.5</c:v>
                </c:pt>
                <c:pt idx="4">
                  <c:v>51.249999999999993</c:v>
                </c:pt>
                <c:pt idx="5">
                  <c:v>78.583333333333329</c:v>
                </c:pt>
                <c:pt idx="6">
                  <c:v>99.833333333333329</c:v>
                </c:pt>
                <c:pt idx="7">
                  <c:v>126.33333333333333</c:v>
                </c:pt>
                <c:pt idx="8">
                  <c:v>145.74999999999997</c:v>
                </c:pt>
                <c:pt idx="9">
                  <c:v>151.24999999999997</c:v>
                </c:pt>
                <c:pt idx="10">
                  <c:v>168</c:v>
                </c:pt>
                <c:pt idx="11">
                  <c:v>174</c:v>
                </c:pt>
                <c:pt idx="12">
                  <c:v>194.24999999999997</c:v>
                </c:pt>
              </c:numCache>
            </c:numRef>
          </c:xVal>
          <c:yVal>
            <c:numRef>
              <c:f>[9]Sheet1!$O$17:$O$29</c:f>
              <c:numCache>
                <c:formatCode>General</c:formatCode>
                <c:ptCount val="13"/>
                <c:pt idx="0">
                  <c:v>7.9847252140784392E-2</c:v>
                </c:pt>
                <c:pt idx="1">
                  <c:v>0.14070534617507255</c:v>
                </c:pt>
                <c:pt idx="2">
                  <c:v>0.17471755888269747</c:v>
                </c:pt>
                <c:pt idx="3">
                  <c:v>0.17986790336650585</c:v>
                </c:pt>
                <c:pt idx="4">
                  <c:v>0.18869950686297199</c:v>
                </c:pt>
                <c:pt idx="5">
                  <c:v>0.19284185789820368</c:v>
                </c:pt>
                <c:pt idx="6">
                  <c:v>0.19515337095654339</c:v>
                </c:pt>
                <c:pt idx="7">
                  <c:v>0.18487048476972101</c:v>
                </c:pt>
                <c:pt idx="8">
                  <c:v>0.18167310533905398</c:v>
                </c:pt>
                <c:pt idx="9">
                  <c:v>0.27496003275711667</c:v>
                </c:pt>
                <c:pt idx="10">
                  <c:v>0.18094034288155811</c:v>
                </c:pt>
                <c:pt idx="11">
                  <c:v>0.18522119955136992</c:v>
                </c:pt>
                <c:pt idx="12">
                  <c:v>0.18574994214096241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72C-4FB3-A521-E6C004F01F88}"/>
            </c:ext>
          </c:extLst>
        </c:ser>
        <c:ser>
          <c:idx val="1"/>
          <c:order val="1"/>
          <c:tx>
            <c:v>Si - Reactor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[9]Sheet1!$D$47:$D$59</c:f>
              <c:numCache>
                <c:formatCode>General</c:formatCode>
                <c:ptCount val="13"/>
                <c:pt idx="0">
                  <c:v>0.5</c:v>
                </c:pt>
                <c:pt idx="1">
                  <c:v>7.0857142857142854</c:v>
                </c:pt>
                <c:pt idx="2">
                  <c:v>24.583333333333332</c:v>
                </c:pt>
                <c:pt idx="3">
                  <c:v>30.5</c:v>
                </c:pt>
                <c:pt idx="4">
                  <c:v>51.249999999999993</c:v>
                </c:pt>
                <c:pt idx="5">
                  <c:v>78.583333333333329</c:v>
                </c:pt>
                <c:pt idx="6">
                  <c:v>99.833333333333329</c:v>
                </c:pt>
                <c:pt idx="7">
                  <c:v>126.33333333333333</c:v>
                </c:pt>
                <c:pt idx="8">
                  <c:v>145.74999999999997</c:v>
                </c:pt>
                <c:pt idx="9">
                  <c:v>151.24999999999997</c:v>
                </c:pt>
                <c:pt idx="10">
                  <c:v>168</c:v>
                </c:pt>
                <c:pt idx="11">
                  <c:v>174</c:v>
                </c:pt>
                <c:pt idx="12">
                  <c:v>194.24999999999997</c:v>
                </c:pt>
              </c:numCache>
            </c:numRef>
          </c:xVal>
          <c:yVal>
            <c:numRef>
              <c:f>[9]Sheet1!$O$47:$O$59</c:f>
              <c:numCache>
                <c:formatCode>General</c:formatCode>
                <c:ptCount val="13"/>
                <c:pt idx="0">
                  <c:v>6.2205052429189445E-2</c:v>
                </c:pt>
                <c:pt idx="1">
                  <c:v>0.1226237738334728</c:v>
                </c:pt>
                <c:pt idx="2">
                  <c:v>0.16429153833828844</c:v>
                </c:pt>
                <c:pt idx="3">
                  <c:v>0.17270121592992824</c:v>
                </c:pt>
                <c:pt idx="4">
                  <c:v>0.1892453401221271</c:v>
                </c:pt>
                <c:pt idx="5">
                  <c:v>0.19140125687632409</c:v>
                </c:pt>
                <c:pt idx="6">
                  <c:v>0.19484146623702622</c:v>
                </c:pt>
                <c:pt idx="7">
                  <c:v>0.19424685335849459</c:v>
                </c:pt>
                <c:pt idx="8">
                  <c:v>0.18596179523241529</c:v>
                </c:pt>
                <c:pt idx="9">
                  <c:v>0.29661818376030336</c:v>
                </c:pt>
                <c:pt idx="10">
                  <c:v>0.19833152338395257</c:v>
                </c:pt>
                <c:pt idx="11">
                  <c:v>0.21595627637036907</c:v>
                </c:pt>
                <c:pt idx="12">
                  <c:v>0.20447882359224512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72C-4FB3-A521-E6C004F01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3239464297732015"/>
          <c:y val="0.69943936062046297"/>
          <c:w val="0.15857190928057069"/>
          <c:h val="0.12807910639077094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1"/>
          <c:order val="0"/>
          <c:tx>
            <c:v>Mg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7"/>
            <c:spPr>
              <a:solidFill>
                <a:srgbClr val="FCC1FF"/>
              </a:solidFill>
              <a:ln w="9525">
                <a:solidFill>
                  <a:srgbClr val="FCC1FF"/>
                </a:solidFill>
              </a:ln>
              <a:effectLst/>
            </c:spPr>
          </c:marker>
          <c:xVal>
            <c:numRef>
              <c:f>[10]Sheet1!$D$17:$D$30</c:f>
              <c:numCache>
                <c:formatCode>General</c:formatCode>
                <c:ptCount val="14"/>
                <c:pt idx="0">
                  <c:v>0.75</c:v>
                </c:pt>
                <c:pt idx="1">
                  <c:v>8.5</c:v>
                </c:pt>
                <c:pt idx="2">
                  <c:v>23.75</c:v>
                </c:pt>
                <c:pt idx="3">
                  <c:v>28.25</c:v>
                </c:pt>
                <c:pt idx="4">
                  <c:v>47.416666666666664</c:v>
                </c:pt>
                <c:pt idx="5">
                  <c:v>51.25</c:v>
                </c:pt>
                <c:pt idx="6">
                  <c:v>55.75</c:v>
                </c:pt>
                <c:pt idx="7">
                  <c:v>77.833333333333329</c:v>
                </c:pt>
                <c:pt idx="8">
                  <c:v>94.999999999999986</c:v>
                </c:pt>
                <c:pt idx="9">
                  <c:v>102.99999999999999</c:v>
                </c:pt>
                <c:pt idx="10">
                  <c:v>121.08333333333331</c:v>
                </c:pt>
                <c:pt idx="11">
                  <c:v>126.83333333333331</c:v>
                </c:pt>
                <c:pt idx="12">
                  <c:v>143.16666666666666</c:v>
                </c:pt>
                <c:pt idx="13">
                  <c:v>149.75</c:v>
                </c:pt>
              </c:numCache>
            </c:numRef>
          </c:xVal>
          <c:yVal>
            <c:numRef>
              <c:f>[10]Sheet1!$M$17:$M$30</c:f>
              <c:numCache>
                <c:formatCode>General</c:formatCode>
                <c:ptCount val="14"/>
                <c:pt idx="0">
                  <c:v>4.4134951656037855E-2</c:v>
                </c:pt>
                <c:pt idx="1">
                  <c:v>9.6361242542686687E-2</c:v>
                </c:pt>
                <c:pt idx="2">
                  <c:v>0.11767372968524994</c:v>
                </c:pt>
                <c:pt idx="3">
                  <c:v>0.12244229582390455</c:v>
                </c:pt>
                <c:pt idx="4">
                  <c:v>0.1296058424192553</c:v>
                </c:pt>
                <c:pt idx="5">
                  <c:v>0.16513145443324417</c:v>
                </c:pt>
                <c:pt idx="6">
                  <c:v>0.13688294589590619</c:v>
                </c:pt>
                <c:pt idx="7">
                  <c:v>0.13426002880065829</c:v>
                </c:pt>
                <c:pt idx="8">
                  <c:v>0.12616910100802303</c:v>
                </c:pt>
                <c:pt idx="9">
                  <c:v>0.12891380374408556</c:v>
                </c:pt>
                <c:pt idx="10">
                  <c:v>0.13126270314750052</c:v>
                </c:pt>
                <c:pt idx="11">
                  <c:v>0.13159267640403211</c:v>
                </c:pt>
                <c:pt idx="12">
                  <c:v>0.12772310224233696</c:v>
                </c:pt>
                <c:pt idx="13">
                  <c:v>0.12698086813412879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7E1-4092-9079-B8A73D3FD796}"/>
            </c:ext>
          </c:extLst>
        </c:ser>
        <c:ser>
          <c:idx val="0"/>
          <c:order val="1"/>
          <c:tx>
            <c:v>Mg - Reactor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[10]Sheet1!$D$50:$D$62</c:f>
              <c:numCache>
                <c:formatCode>General</c:formatCode>
                <c:ptCount val="13"/>
                <c:pt idx="0">
                  <c:v>8.5</c:v>
                </c:pt>
                <c:pt idx="1">
                  <c:v>23.75</c:v>
                </c:pt>
                <c:pt idx="2">
                  <c:v>28.25</c:v>
                </c:pt>
                <c:pt idx="3">
                  <c:v>47.416666666666664</c:v>
                </c:pt>
                <c:pt idx="4">
                  <c:v>51.25</c:v>
                </c:pt>
                <c:pt idx="5">
                  <c:v>55.75</c:v>
                </c:pt>
                <c:pt idx="6">
                  <c:v>77.833333333333329</c:v>
                </c:pt>
                <c:pt idx="7">
                  <c:v>94.999999999999986</c:v>
                </c:pt>
                <c:pt idx="8">
                  <c:v>102.99999999999999</c:v>
                </c:pt>
                <c:pt idx="9">
                  <c:v>121.08333333333331</c:v>
                </c:pt>
                <c:pt idx="10">
                  <c:v>126.83333333333331</c:v>
                </c:pt>
                <c:pt idx="11">
                  <c:v>143.16666666666666</c:v>
                </c:pt>
                <c:pt idx="12">
                  <c:v>149.75</c:v>
                </c:pt>
              </c:numCache>
            </c:numRef>
          </c:xVal>
          <c:yVal>
            <c:numRef>
              <c:f>[10]Sheet1!$M$50:$M$62</c:f>
              <c:numCache>
                <c:formatCode>General</c:formatCode>
                <c:ptCount val="13"/>
                <c:pt idx="0">
                  <c:v>9.847685661386546E-2</c:v>
                </c:pt>
                <c:pt idx="1">
                  <c:v>0.12806994445587327</c:v>
                </c:pt>
                <c:pt idx="2">
                  <c:v>0.14077309195638757</c:v>
                </c:pt>
                <c:pt idx="3">
                  <c:v>0.14352931495577043</c:v>
                </c:pt>
                <c:pt idx="4">
                  <c:v>0.13886813412878007</c:v>
                </c:pt>
                <c:pt idx="5">
                  <c:v>0</c:v>
                </c:pt>
                <c:pt idx="6">
                  <c:v>0.21372721662209421</c:v>
                </c:pt>
                <c:pt idx="7">
                  <c:v>0.1431446204484674</c:v>
                </c:pt>
                <c:pt idx="8">
                  <c:v>0.13416046081053282</c:v>
                </c:pt>
                <c:pt idx="9">
                  <c:v>0.13144826167455256</c:v>
                </c:pt>
                <c:pt idx="10">
                  <c:v>0.12631475005142975</c:v>
                </c:pt>
                <c:pt idx="11">
                  <c:v>0.12130343550709731</c:v>
                </c:pt>
                <c:pt idx="12">
                  <c:v>0.12634313927175478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7E1-4092-9079-B8A73D3FD7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0337306440165148"/>
          <c:y val="4.5248596594464834E-2"/>
          <c:w val="0.16718504770060746"/>
          <c:h val="9.1463371349044018E-2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377463111228742"/>
          <c:y val="2.8173248255472492E-2"/>
          <c:w val="0.74385548865215378"/>
          <c:h val="0.84486914799366897"/>
        </c:manualLayout>
      </c:layout>
      <c:scatterChart>
        <c:scatterStyle val="lineMarker"/>
        <c:varyColors val="0"/>
        <c:ser>
          <c:idx val="0"/>
          <c:order val="0"/>
          <c:tx>
            <c:v>Si - Reactor A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[10]Sheet1!$D$17:$D$31</c:f>
              <c:numCache>
                <c:formatCode>General</c:formatCode>
                <c:ptCount val="15"/>
                <c:pt idx="0">
                  <c:v>0.75</c:v>
                </c:pt>
                <c:pt idx="1">
                  <c:v>8.5</c:v>
                </c:pt>
                <c:pt idx="2">
                  <c:v>23.75</c:v>
                </c:pt>
                <c:pt idx="3">
                  <c:v>28.25</c:v>
                </c:pt>
                <c:pt idx="4">
                  <c:v>47.416666666666664</c:v>
                </c:pt>
                <c:pt idx="5">
                  <c:v>51.25</c:v>
                </c:pt>
                <c:pt idx="6">
                  <c:v>55.75</c:v>
                </c:pt>
                <c:pt idx="7">
                  <c:v>77.833333333333329</c:v>
                </c:pt>
                <c:pt idx="8">
                  <c:v>94.999999999999986</c:v>
                </c:pt>
                <c:pt idx="9">
                  <c:v>102.99999999999999</c:v>
                </c:pt>
                <c:pt idx="10">
                  <c:v>121.08333333333331</c:v>
                </c:pt>
                <c:pt idx="11">
                  <c:v>126.83333333333331</c:v>
                </c:pt>
                <c:pt idx="12">
                  <c:v>143.16666666666666</c:v>
                </c:pt>
                <c:pt idx="13">
                  <c:v>149.75</c:v>
                </c:pt>
                <c:pt idx="14">
                  <c:v>168.08333333333331</c:v>
                </c:pt>
              </c:numCache>
            </c:numRef>
          </c:xVal>
          <c:yVal>
            <c:numRef>
              <c:f>[10]Sheet1!$O$17:$O$31</c:f>
              <c:numCache>
                <c:formatCode>General</c:formatCode>
                <c:ptCount val="15"/>
                <c:pt idx="0">
                  <c:v>5.6514215520464296E-2</c:v>
                </c:pt>
                <c:pt idx="1">
                  <c:v>0.14563992095565328</c:v>
                </c:pt>
                <c:pt idx="2">
                  <c:v>0.18997561019031173</c:v>
                </c:pt>
                <c:pt idx="3">
                  <c:v>0.19706218511331469</c:v>
                </c:pt>
                <c:pt idx="4">
                  <c:v>0.21001620053052286</c:v>
                </c:pt>
                <c:pt idx="5">
                  <c:v>0.28507201224831319</c:v>
                </c:pt>
                <c:pt idx="6">
                  <c:v>0.23001726869737052</c:v>
                </c:pt>
                <c:pt idx="7">
                  <c:v>0.22685941144006694</c:v>
                </c:pt>
                <c:pt idx="8">
                  <c:v>0.21917110252621458</c:v>
                </c:pt>
                <c:pt idx="9">
                  <c:v>0.22066333161239787</c:v>
                </c:pt>
                <c:pt idx="10">
                  <c:v>0.22739349486389773</c:v>
                </c:pt>
                <c:pt idx="11">
                  <c:v>0.22872051414430933</c:v>
                </c:pt>
                <c:pt idx="12">
                  <c:v>0.22482455359527159</c:v>
                </c:pt>
                <c:pt idx="13">
                  <c:v>0.22437485535240606</c:v>
                </c:pt>
                <c:pt idx="14">
                  <c:v>0.18840540492424918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E9E-48CE-96B6-717FB5577298}"/>
            </c:ext>
          </c:extLst>
        </c:ser>
        <c:ser>
          <c:idx val="1"/>
          <c:order val="1"/>
          <c:tx>
            <c:v>Si -Reactror B</c:v>
          </c:tx>
          <c:spPr>
            <a:ln w="2540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[10]Sheet1!$D$49:$D$63</c:f>
              <c:numCache>
                <c:formatCode>General</c:formatCode>
                <c:ptCount val="15"/>
                <c:pt idx="0">
                  <c:v>0.75</c:v>
                </c:pt>
                <c:pt idx="1">
                  <c:v>8.5</c:v>
                </c:pt>
                <c:pt idx="2">
                  <c:v>23.75</c:v>
                </c:pt>
                <c:pt idx="3">
                  <c:v>28.25</c:v>
                </c:pt>
                <c:pt idx="4">
                  <c:v>47.416666666666664</c:v>
                </c:pt>
                <c:pt idx="5">
                  <c:v>51.25</c:v>
                </c:pt>
                <c:pt idx="6">
                  <c:v>55.75</c:v>
                </c:pt>
                <c:pt idx="7">
                  <c:v>77.833333333333329</c:v>
                </c:pt>
                <c:pt idx="8">
                  <c:v>94.999999999999986</c:v>
                </c:pt>
                <c:pt idx="9">
                  <c:v>102.99999999999999</c:v>
                </c:pt>
                <c:pt idx="10">
                  <c:v>121.08333333333331</c:v>
                </c:pt>
                <c:pt idx="11">
                  <c:v>126.83333333333331</c:v>
                </c:pt>
                <c:pt idx="12">
                  <c:v>143.16666666666666</c:v>
                </c:pt>
                <c:pt idx="13">
                  <c:v>149.75</c:v>
                </c:pt>
                <c:pt idx="14">
                  <c:v>168.08333333333331</c:v>
                </c:pt>
              </c:numCache>
            </c:numRef>
          </c:xVal>
          <c:yVal>
            <c:numRef>
              <c:f>[10]Sheet1!$O$49:$O$63</c:f>
              <c:numCache>
                <c:formatCode>General</c:formatCode>
                <c:ptCount val="15"/>
                <c:pt idx="0">
                  <c:v>6.8817005216214769E-2</c:v>
                </c:pt>
                <c:pt idx="1">
                  <c:v>0.14674262519805595</c:v>
                </c:pt>
                <c:pt idx="2">
                  <c:v>0.20677858681526054</c:v>
                </c:pt>
                <c:pt idx="3">
                  <c:v>0.21610297128411457</c:v>
                </c:pt>
                <c:pt idx="4">
                  <c:v>0.23358031724555375</c:v>
                </c:pt>
                <c:pt idx="5">
                  <c:v>0.22737391180502395</c:v>
                </c:pt>
                <c:pt idx="6">
                  <c:v>0</c:v>
                </c:pt>
                <c:pt idx="7">
                  <c:v>0.38433711345712201</c:v>
                </c:pt>
                <c:pt idx="8">
                  <c:v>0.24855886489469656</c:v>
                </c:pt>
                <c:pt idx="9">
                  <c:v>0.23647682968079614</c:v>
                </c:pt>
                <c:pt idx="10">
                  <c:v>0.23106157981876771</c:v>
                </c:pt>
                <c:pt idx="11">
                  <c:v>0.21991668298588241</c:v>
                </c:pt>
                <c:pt idx="12">
                  <c:v>0.21139093126346337</c:v>
                </c:pt>
                <c:pt idx="13">
                  <c:v>0.21957914226202133</c:v>
                </c:pt>
                <c:pt idx="14">
                  <c:v>0.17490947285966069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E9E-48CE-96B6-717FB55772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04761887"/>
        <c:axId val="204804095"/>
      </c:scatterChart>
      <c:valAx>
        <c:axId val="20476188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804095"/>
        <c:crosses val="autoZero"/>
        <c:crossBetween val="midCat"/>
      </c:valAx>
      <c:valAx>
        <c:axId val="204804095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2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2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2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4.9092436974789919E-2"/>
              <c:y val="0.3140274943508167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04761887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3239464297732015"/>
          <c:y val="0.69943936062046297"/>
          <c:w val="0.15801195252284797"/>
          <c:h val="0.10321770019711393"/>
        </c:manualLayout>
      </c:layout>
      <c:overlay val="0"/>
      <c:spPr>
        <a:noFill/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Si - outlet (reactor A) 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noFill/>
              </a:ln>
              <a:effectLst/>
            </c:spPr>
          </c:marker>
          <c:xVal>
            <c:numRef>
              <c:f>'[1]SOLUTION COMP'!$D$15:$D$29</c:f>
              <c:numCache>
                <c:formatCode>General</c:formatCode>
                <c:ptCount val="15"/>
                <c:pt idx="0">
                  <c:v>0.5</c:v>
                </c:pt>
                <c:pt idx="1">
                  <c:v>3.5</c:v>
                </c:pt>
                <c:pt idx="2">
                  <c:v>6.5</c:v>
                </c:pt>
                <c:pt idx="3">
                  <c:v>9.5</c:v>
                </c:pt>
                <c:pt idx="4">
                  <c:v>27.5</c:v>
                </c:pt>
                <c:pt idx="5">
                  <c:v>51.75</c:v>
                </c:pt>
                <c:pt idx="6">
                  <c:v>54.25</c:v>
                </c:pt>
                <c:pt idx="7">
                  <c:v>56.833333333333336</c:v>
                </c:pt>
                <c:pt idx="8">
                  <c:v>75.25</c:v>
                </c:pt>
                <c:pt idx="9">
                  <c:v>77.75</c:v>
                </c:pt>
                <c:pt idx="10">
                  <c:v>80.333333333333329</c:v>
                </c:pt>
                <c:pt idx="11">
                  <c:v>96.25</c:v>
                </c:pt>
                <c:pt idx="12">
                  <c:v>100.16666666666667</c:v>
                </c:pt>
                <c:pt idx="13">
                  <c:v>103.08333333333334</c:v>
                </c:pt>
                <c:pt idx="14">
                  <c:v>106.25000000000001</c:v>
                </c:pt>
              </c:numCache>
            </c:numRef>
          </c:xVal>
          <c:yVal>
            <c:numRef>
              <c:f>'[1]SOLUTION COMP'!$T$15:$T$29</c:f>
              <c:numCache>
                <c:formatCode>General</c:formatCode>
                <c:ptCount val="15"/>
                <c:pt idx="0">
                  <c:v>2.4955543633300152</c:v>
                </c:pt>
                <c:pt idx="1">
                  <c:v>2.4374438942521084</c:v>
                </c:pt>
                <c:pt idx="2">
                  <c:v>2.3882401596173257</c:v>
                </c:pt>
                <c:pt idx="3">
                  <c:v>2.3322057875823692</c:v>
                </c:pt>
                <c:pt idx="4">
                  <c:v>2.3335840033801087</c:v>
                </c:pt>
                <c:pt idx="5">
                  <c:v>2.3097571405328798</c:v>
                </c:pt>
                <c:pt idx="6">
                  <c:v>2.3061818008888579</c:v>
                </c:pt>
                <c:pt idx="7">
                  <c:v>2.3233017865430248</c:v>
                </c:pt>
                <c:pt idx="8">
                  <c:v>2.3443057519398671</c:v>
                </c:pt>
                <c:pt idx="9">
                  <c:v>2.3263571622904888</c:v>
                </c:pt>
                <c:pt idx="10">
                  <c:v>2.2946835319791479</c:v>
                </c:pt>
                <c:pt idx="11">
                  <c:v>2.3353015197977078</c:v>
                </c:pt>
                <c:pt idx="12">
                  <c:v>2.3079910394501506</c:v>
                </c:pt>
                <c:pt idx="13">
                  <c:v>2.3371388256865715</c:v>
                </c:pt>
                <c:pt idx="14">
                  <c:v>2.3562738970989496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124-47AA-B3D5-AA884B7CD7FA}"/>
            </c:ext>
          </c:extLst>
        </c:ser>
        <c:ser>
          <c:idx val="1"/>
          <c:order val="1"/>
          <c:tx>
            <c:v>Si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'[1]SOLUTION COMP'!$D$36:$D$39</c:f>
              <c:numCache>
                <c:formatCode>General</c:formatCode>
                <c:ptCount val="4"/>
                <c:pt idx="0">
                  <c:v>0</c:v>
                </c:pt>
                <c:pt idx="1">
                  <c:v>52.166666666666664</c:v>
                </c:pt>
                <c:pt idx="2">
                  <c:v>75.416666666666657</c:v>
                </c:pt>
                <c:pt idx="3">
                  <c:v>100.91666666666666</c:v>
                </c:pt>
              </c:numCache>
            </c:numRef>
          </c:xVal>
          <c:yVal>
            <c:numRef>
              <c:f>'[1]SOLUTION COMP'!$Q$36:$Q$39</c:f>
              <c:numCache>
                <c:formatCode>General</c:formatCode>
                <c:ptCount val="4"/>
                <c:pt idx="0">
                  <c:v>2.525137316910786</c:v>
                </c:pt>
                <c:pt idx="1">
                  <c:v>2.4989207841925052</c:v>
                </c:pt>
                <c:pt idx="2">
                  <c:v>2.5006228167637961</c:v>
                </c:pt>
                <c:pt idx="3">
                  <c:v>2.4976317361165505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124-47AA-B3D5-AA884B7CD7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Mg - outlet (reactor A) 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noFill/>
              </a:ln>
              <a:effectLst/>
            </c:spPr>
          </c:marker>
          <c:xVal>
            <c:numRef>
              <c:f>'[1]SOLUTION COMP'!$D$15:$D$29</c:f>
              <c:numCache>
                <c:formatCode>General</c:formatCode>
                <c:ptCount val="15"/>
                <c:pt idx="0">
                  <c:v>0.5</c:v>
                </c:pt>
                <c:pt idx="1">
                  <c:v>3.5</c:v>
                </c:pt>
                <c:pt idx="2">
                  <c:v>6.5</c:v>
                </c:pt>
                <c:pt idx="3">
                  <c:v>9.5</c:v>
                </c:pt>
                <c:pt idx="4">
                  <c:v>27.5</c:v>
                </c:pt>
                <c:pt idx="5">
                  <c:v>51.75</c:v>
                </c:pt>
                <c:pt idx="6">
                  <c:v>54.25</c:v>
                </c:pt>
                <c:pt idx="7">
                  <c:v>56.833333333333336</c:v>
                </c:pt>
                <c:pt idx="8">
                  <c:v>75.25</c:v>
                </c:pt>
                <c:pt idx="9">
                  <c:v>77.75</c:v>
                </c:pt>
                <c:pt idx="10">
                  <c:v>80.333333333333329</c:v>
                </c:pt>
                <c:pt idx="11">
                  <c:v>96.25</c:v>
                </c:pt>
                <c:pt idx="12">
                  <c:v>100.16666666666667</c:v>
                </c:pt>
                <c:pt idx="13">
                  <c:v>103.08333333333334</c:v>
                </c:pt>
                <c:pt idx="14">
                  <c:v>106.25000000000001</c:v>
                </c:pt>
              </c:numCache>
            </c:numRef>
          </c:xVal>
          <c:yVal>
            <c:numRef>
              <c:f>'[1]SOLUTION COMP'!$R$15:$R$29</c:f>
              <c:numCache>
                <c:formatCode>General</c:formatCode>
                <c:ptCount val="15"/>
                <c:pt idx="0">
                  <c:v>1.5782135392127907</c:v>
                </c:pt>
                <c:pt idx="1">
                  <c:v>1.4278678437348102</c:v>
                </c:pt>
                <c:pt idx="2">
                  <c:v>1.4434131065130329</c:v>
                </c:pt>
                <c:pt idx="3">
                  <c:v>1.4478778122047355</c:v>
                </c:pt>
                <c:pt idx="4">
                  <c:v>1.4610620482761527</c:v>
                </c:pt>
                <c:pt idx="5">
                  <c:v>1.4321689783167164</c:v>
                </c:pt>
                <c:pt idx="6">
                  <c:v>1.4134353369987409</c:v>
                </c:pt>
                <c:pt idx="7">
                  <c:v>1.4531966905059208</c:v>
                </c:pt>
                <c:pt idx="8">
                  <c:v>1.4758902380579482</c:v>
                </c:pt>
                <c:pt idx="9">
                  <c:v>1.4278238111961916</c:v>
                </c:pt>
                <c:pt idx="10">
                  <c:v>1.4099698344364726</c:v>
                </c:pt>
                <c:pt idx="11">
                  <c:v>1.4122332538408966</c:v>
                </c:pt>
                <c:pt idx="12">
                  <c:v>1.4131602349233578</c:v>
                </c:pt>
                <c:pt idx="13">
                  <c:v>1.4337033111823843</c:v>
                </c:pt>
                <c:pt idx="14">
                  <c:v>1.419795478263332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967-421F-B9BF-5A5B031FB7B3}"/>
            </c:ext>
          </c:extLst>
        </c:ser>
        <c:ser>
          <c:idx val="1"/>
          <c:order val="1"/>
          <c:tx>
            <c:v>Mg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'[1]SOLUTION COMP'!$D$36:$D$39</c:f>
              <c:numCache>
                <c:formatCode>General</c:formatCode>
                <c:ptCount val="4"/>
                <c:pt idx="0">
                  <c:v>0</c:v>
                </c:pt>
                <c:pt idx="1">
                  <c:v>52.166666666666664</c:v>
                </c:pt>
                <c:pt idx="2">
                  <c:v>75.416666666666657</c:v>
                </c:pt>
                <c:pt idx="3">
                  <c:v>100.91666666666666</c:v>
                </c:pt>
              </c:numCache>
            </c:numRef>
          </c:xVal>
          <c:yVal>
            <c:numRef>
              <c:f>'[1]SOLUTION COMP'!$O$36:$O$39</c:f>
              <c:numCache>
                <c:formatCode>General</c:formatCode>
                <c:ptCount val="4"/>
                <c:pt idx="0">
                  <c:v>1.6321552630714335</c:v>
                </c:pt>
                <c:pt idx="1">
                  <c:v>1.639708487671653</c:v>
                </c:pt>
                <c:pt idx="2">
                  <c:v>1.6151403080316387</c:v>
                </c:pt>
                <c:pt idx="3">
                  <c:v>1.5963811622993345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967-421F-B9BF-5A5B031FB7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2"/>
          <c:order val="0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'[1]SOLUTION COMP'!$D$56:$D$70</c:f>
              <c:numCache>
                <c:formatCode>General</c:formatCode>
                <c:ptCount val="15"/>
                <c:pt idx="0">
                  <c:v>0.5</c:v>
                </c:pt>
                <c:pt idx="1">
                  <c:v>3.5</c:v>
                </c:pt>
                <c:pt idx="2">
                  <c:v>6.5</c:v>
                </c:pt>
                <c:pt idx="3">
                  <c:v>9.5</c:v>
                </c:pt>
                <c:pt idx="4">
                  <c:v>27.5</c:v>
                </c:pt>
                <c:pt idx="5">
                  <c:v>51.75</c:v>
                </c:pt>
                <c:pt idx="6">
                  <c:v>54.25</c:v>
                </c:pt>
                <c:pt idx="7">
                  <c:v>56.833333333333336</c:v>
                </c:pt>
                <c:pt idx="8">
                  <c:v>75.25</c:v>
                </c:pt>
                <c:pt idx="9">
                  <c:v>77.75</c:v>
                </c:pt>
                <c:pt idx="10">
                  <c:v>80.333333333333329</c:v>
                </c:pt>
                <c:pt idx="11">
                  <c:v>96.25</c:v>
                </c:pt>
                <c:pt idx="12">
                  <c:v>100.16666666666667</c:v>
                </c:pt>
                <c:pt idx="13">
                  <c:v>103.08333333333334</c:v>
                </c:pt>
                <c:pt idx="14">
                  <c:v>106.25000000000001</c:v>
                </c:pt>
              </c:numCache>
            </c:numRef>
          </c:xVal>
          <c:yVal>
            <c:numRef>
              <c:f>'[1]SOLUTION COMP'!$R$56:$R$70</c:f>
              <c:numCache>
                <c:formatCode>General</c:formatCode>
                <c:ptCount val="15"/>
                <c:pt idx="0">
                  <c:v>1.4942984079743513</c:v>
                </c:pt>
                <c:pt idx="1">
                  <c:v>1.5764876056325319</c:v>
                </c:pt>
                <c:pt idx="2">
                  <c:v>1.4292849828491108</c:v>
                </c:pt>
                <c:pt idx="3">
                  <c:v>1.3634061090543086</c:v>
                </c:pt>
                <c:pt idx="4">
                  <c:v>1.4350049592319944</c:v>
                </c:pt>
                <c:pt idx="5">
                  <c:v>1.4599469810307566</c:v>
                </c:pt>
                <c:pt idx="6">
                  <c:v>1.3955179267884041</c:v>
                </c:pt>
                <c:pt idx="7">
                  <c:v>1.4202204278405974</c:v>
                </c:pt>
                <c:pt idx="8">
                  <c:v>1.4683393806394986</c:v>
                </c:pt>
                <c:pt idx="9">
                  <c:v>1.4077319190472126</c:v>
                </c:pt>
                <c:pt idx="10">
                  <c:v>1.3818424489119379</c:v>
                </c:pt>
                <c:pt idx="11">
                  <c:v>1.4247162254155379</c:v>
                </c:pt>
                <c:pt idx="12">
                  <c:v>1.403490402228059</c:v>
                </c:pt>
                <c:pt idx="13">
                  <c:v>1.4381794738648257</c:v>
                </c:pt>
                <c:pt idx="14">
                  <c:v>1.4682038285021952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03C-4C5C-A65E-67BFAD7B4335}"/>
            </c:ext>
          </c:extLst>
        </c:ser>
        <c:ser>
          <c:idx val="3"/>
          <c:order val="1"/>
          <c:tx>
            <c:v>Mg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'[1]SOLUTION COMP'!$D$36:$D$39</c:f>
              <c:numCache>
                <c:formatCode>General</c:formatCode>
                <c:ptCount val="4"/>
                <c:pt idx="0">
                  <c:v>0</c:v>
                </c:pt>
                <c:pt idx="1">
                  <c:v>52.166666666666664</c:v>
                </c:pt>
                <c:pt idx="2">
                  <c:v>75.416666666666657</c:v>
                </c:pt>
                <c:pt idx="3">
                  <c:v>100.91666666666666</c:v>
                </c:pt>
              </c:numCache>
            </c:numRef>
          </c:xVal>
          <c:yVal>
            <c:numRef>
              <c:f>'[1]SOLUTION COMP'!$Q$36:$Q$39</c:f>
              <c:numCache>
                <c:formatCode>General</c:formatCode>
                <c:ptCount val="4"/>
                <c:pt idx="0">
                  <c:v>2.525137316910786</c:v>
                </c:pt>
                <c:pt idx="1">
                  <c:v>2.4989207841925052</c:v>
                </c:pt>
                <c:pt idx="2">
                  <c:v>2.5006228167637961</c:v>
                </c:pt>
                <c:pt idx="3">
                  <c:v>2.4976317361165505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03C-4C5C-A65E-67BFAD7B43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448739391787244"/>
          <c:y val="9.6803636662920203E-2"/>
          <c:w val="0.5698299632166649"/>
          <c:h val="0.73587951781264604"/>
        </c:manualLayout>
      </c:layout>
      <c:scatterChart>
        <c:scatterStyle val="lineMarker"/>
        <c:varyColors val="0"/>
        <c:ser>
          <c:idx val="1"/>
          <c:order val="0"/>
          <c:tx>
            <c:v>Mg - inlet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'[2]SOLUTION COMP'!$D$35:$D$41</c:f>
              <c:numCache>
                <c:formatCode>General</c:formatCode>
                <c:ptCount val="7"/>
                <c:pt idx="0">
                  <c:v>0</c:v>
                </c:pt>
                <c:pt idx="1">
                  <c:v>23.666666666666668</c:v>
                </c:pt>
                <c:pt idx="2">
                  <c:v>49.666666666666671</c:v>
                </c:pt>
                <c:pt idx="3">
                  <c:v>79.333333333333343</c:v>
                </c:pt>
                <c:pt idx="4">
                  <c:v>102.83333333333334</c:v>
                </c:pt>
                <c:pt idx="5">
                  <c:v>151.33333333333334</c:v>
                </c:pt>
                <c:pt idx="6">
                  <c:v>198.83333333333334</c:v>
                </c:pt>
              </c:numCache>
            </c:numRef>
          </c:xVal>
          <c:yVal>
            <c:numRef>
              <c:f>'[2]SOLUTION COMP'!$O$35:$O$41</c:f>
              <c:numCache>
                <c:formatCode>General</c:formatCode>
                <c:ptCount val="7"/>
                <c:pt idx="0">
                  <c:v>0.74489778590758549</c:v>
                </c:pt>
                <c:pt idx="1">
                  <c:v>1.1156568804064952</c:v>
                </c:pt>
                <c:pt idx="2">
                  <c:v>3.6546310243412282E-2</c:v>
                </c:pt>
                <c:pt idx="3">
                  <c:v>1.2782791237375499</c:v>
                </c:pt>
                <c:pt idx="4">
                  <c:v>1.1654195371510607</c:v>
                </c:pt>
                <c:pt idx="5">
                  <c:v>1.1530893937957947</c:v>
                </c:pt>
                <c:pt idx="6">
                  <c:v>1.2113270993455956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D5-463C-9BF1-7765B202E5F2}"/>
            </c:ext>
          </c:extLst>
        </c:ser>
        <c:ser>
          <c:idx val="0"/>
          <c:order val="1"/>
          <c:tx>
            <c:v>Mg - outlet (reactor A) </c:v>
          </c:tx>
          <c:spPr>
            <a:ln w="1905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A4F9FF"/>
              </a:solidFill>
              <a:ln w="9525">
                <a:noFill/>
              </a:ln>
              <a:effectLst/>
            </c:spPr>
          </c:marker>
          <c:xVal>
            <c:numRef>
              <c:f>'[2]SOLUTION COMP'!$D$15:$D$29</c:f>
              <c:numCache>
                <c:formatCode>General</c:formatCode>
                <c:ptCount val="15"/>
                <c:pt idx="0">
                  <c:v>1</c:v>
                </c:pt>
                <c:pt idx="1">
                  <c:v>8</c:v>
                </c:pt>
                <c:pt idx="2">
                  <c:v>23</c:v>
                </c:pt>
                <c:pt idx="3">
                  <c:v>28</c:v>
                </c:pt>
                <c:pt idx="4">
                  <c:v>33</c:v>
                </c:pt>
                <c:pt idx="5">
                  <c:v>47.583333333333336</c:v>
                </c:pt>
                <c:pt idx="6">
                  <c:v>53.833333333333336</c:v>
                </c:pt>
                <c:pt idx="7">
                  <c:v>74.083333333333343</c:v>
                </c:pt>
                <c:pt idx="8">
                  <c:v>98.333333333333343</c:v>
                </c:pt>
                <c:pt idx="9">
                  <c:v>146.08333333333334</c:v>
                </c:pt>
                <c:pt idx="10">
                  <c:v>167.16666666666666</c:v>
                </c:pt>
                <c:pt idx="11">
                  <c:v>171.83333333333331</c:v>
                </c:pt>
                <c:pt idx="12">
                  <c:v>176.83333333333331</c:v>
                </c:pt>
                <c:pt idx="13">
                  <c:v>191</c:v>
                </c:pt>
                <c:pt idx="14">
                  <c:v>195.83333333333334</c:v>
                </c:pt>
              </c:numCache>
            </c:numRef>
          </c:xVal>
          <c:yVal>
            <c:numRef>
              <c:f>'[2]SOLUTION COMP'!$R$15:$R$29</c:f>
              <c:numCache>
                <c:formatCode>General</c:formatCode>
                <c:ptCount val="15"/>
                <c:pt idx="0">
                  <c:v>0.81348032447760066</c:v>
                </c:pt>
                <c:pt idx="1">
                  <c:v>0.7853926572961033</c:v>
                </c:pt>
                <c:pt idx="2">
                  <c:v>0.76680734063494027</c:v>
                </c:pt>
                <c:pt idx="3">
                  <c:v>0.7791188525897409</c:v>
                </c:pt>
                <c:pt idx="4">
                  <c:v>0.76784486261429785</c:v>
                </c:pt>
                <c:pt idx="5">
                  <c:v>0.78854672448857388</c:v>
                </c:pt>
                <c:pt idx="6">
                  <c:v>0.81100821019012448</c:v>
                </c:pt>
                <c:pt idx="7">
                  <c:v>0.84676823699010095</c:v>
                </c:pt>
                <c:pt idx="8">
                  <c:v>0.86269136440971905</c:v>
                </c:pt>
                <c:pt idx="9">
                  <c:v>0.89754145966667553</c:v>
                </c:pt>
                <c:pt idx="10">
                  <c:v>0.72203046961277917</c:v>
                </c:pt>
                <c:pt idx="11">
                  <c:v>0.91175404126011161</c:v>
                </c:pt>
                <c:pt idx="12">
                  <c:v>0.9065106928691794</c:v>
                </c:pt>
                <c:pt idx="13">
                  <c:v>0.90339552177999383</c:v>
                </c:pt>
                <c:pt idx="14">
                  <c:v>0.91619425380102593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4D5-463C-9BF1-7765B202E5F2}"/>
            </c:ext>
          </c:extLst>
        </c:ser>
        <c:ser>
          <c:idx val="2"/>
          <c:order val="2"/>
          <c:tx>
            <c:v>Mg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'[2]SOLUTION COMP'!$D$58:$D$72</c:f>
              <c:numCache>
                <c:formatCode>General</c:formatCode>
                <c:ptCount val="15"/>
                <c:pt idx="0">
                  <c:v>1</c:v>
                </c:pt>
                <c:pt idx="1">
                  <c:v>8</c:v>
                </c:pt>
                <c:pt idx="2">
                  <c:v>23</c:v>
                </c:pt>
                <c:pt idx="3">
                  <c:v>28</c:v>
                </c:pt>
                <c:pt idx="4">
                  <c:v>33</c:v>
                </c:pt>
                <c:pt idx="5">
                  <c:v>47.583333333333336</c:v>
                </c:pt>
                <c:pt idx="6">
                  <c:v>53.833333333333336</c:v>
                </c:pt>
                <c:pt idx="7">
                  <c:v>74.083333333333343</c:v>
                </c:pt>
                <c:pt idx="8">
                  <c:v>98.333333333333343</c:v>
                </c:pt>
                <c:pt idx="9">
                  <c:v>146.08333333333334</c:v>
                </c:pt>
                <c:pt idx="10">
                  <c:v>167.16666666666666</c:v>
                </c:pt>
                <c:pt idx="11">
                  <c:v>171.83333333333331</c:v>
                </c:pt>
                <c:pt idx="12">
                  <c:v>176.83333333333331</c:v>
                </c:pt>
                <c:pt idx="13">
                  <c:v>191</c:v>
                </c:pt>
                <c:pt idx="14">
                  <c:v>195.83333333333334</c:v>
                </c:pt>
              </c:numCache>
            </c:numRef>
          </c:xVal>
          <c:yVal>
            <c:numRef>
              <c:f>'[2]SOLUTION COMP'!$R$58:$R$72</c:f>
              <c:numCache>
                <c:formatCode>General</c:formatCode>
                <c:ptCount val="15"/>
                <c:pt idx="0">
                  <c:v>0.93545378487647601</c:v>
                </c:pt>
                <c:pt idx="1">
                  <c:v>0.91783394371644356</c:v>
                </c:pt>
                <c:pt idx="2">
                  <c:v>0.88151873541904391</c:v>
                </c:pt>
                <c:pt idx="3">
                  <c:v>0.86167259733157642</c:v>
                </c:pt>
                <c:pt idx="4">
                  <c:v>0.87856358259968814</c:v>
                </c:pt>
                <c:pt idx="5">
                  <c:v>0.84648937059933904</c:v>
                </c:pt>
                <c:pt idx="6">
                  <c:v>0.87698219992577431</c:v>
                </c:pt>
                <c:pt idx="7">
                  <c:v>0.88128764033428708</c:v>
                </c:pt>
                <c:pt idx="8">
                  <c:v>0.87882055555204464</c:v>
                </c:pt>
                <c:pt idx="9">
                  <c:v>0.90476596805361764</c:v>
                </c:pt>
                <c:pt idx="10">
                  <c:v>0.88729328096673443</c:v>
                </c:pt>
                <c:pt idx="11">
                  <c:v>0.91930008652240425</c:v>
                </c:pt>
                <c:pt idx="12">
                  <c:v>0.91725556165679467</c:v>
                </c:pt>
                <c:pt idx="13">
                  <c:v>0.91681760475911456</c:v>
                </c:pt>
                <c:pt idx="14">
                  <c:v>0.91404826283315999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4D5-463C-9BF1-7765B202E5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8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0"/>
          <c:order val="0"/>
          <c:tx>
            <c:v>Si- outlet (reactor A) 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A4F9FF"/>
              </a:solidFill>
              <a:ln w="9525">
                <a:noFill/>
              </a:ln>
              <a:effectLst/>
            </c:spPr>
          </c:marker>
          <c:xVal>
            <c:numRef>
              <c:f>'[2]SOLUTION COMP'!$D$15:$D$29</c:f>
              <c:numCache>
                <c:formatCode>General</c:formatCode>
                <c:ptCount val="15"/>
                <c:pt idx="0">
                  <c:v>1</c:v>
                </c:pt>
                <c:pt idx="1">
                  <c:v>8</c:v>
                </c:pt>
                <c:pt idx="2">
                  <c:v>23</c:v>
                </c:pt>
                <c:pt idx="3">
                  <c:v>28</c:v>
                </c:pt>
                <c:pt idx="4">
                  <c:v>33</c:v>
                </c:pt>
                <c:pt idx="5">
                  <c:v>47.583333333333336</c:v>
                </c:pt>
                <c:pt idx="6">
                  <c:v>53.833333333333336</c:v>
                </c:pt>
                <c:pt idx="7">
                  <c:v>74.083333333333343</c:v>
                </c:pt>
                <c:pt idx="8">
                  <c:v>98.333333333333343</c:v>
                </c:pt>
                <c:pt idx="9">
                  <c:v>146.08333333333334</c:v>
                </c:pt>
                <c:pt idx="10">
                  <c:v>167.16666666666666</c:v>
                </c:pt>
                <c:pt idx="11">
                  <c:v>171.83333333333331</c:v>
                </c:pt>
                <c:pt idx="12">
                  <c:v>176.83333333333331</c:v>
                </c:pt>
                <c:pt idx="13">
                  <c:v>191</c:v>
                </c:pt>
                <c:pt idx="14">
                  <c:v>195.83333333333334</c:v>
                </c:pt>
              </c:numCache>
            </c:numRef>
          </c:xVal>
          <c:yVal>
            <c:numRef>
              <c:f>'[2]SOLUTION COMP'!$T$15:$T$29</c:f>
              <c:numCache>
                <c:formatCode>General</c:formatCode>
                <c:ptCount val="15"/>
                <c:pt idx="0">
                  <c:v>2.5238817785436409</c:v>
                </c:pt>
                <c:pt idx="1">
                  <c:v>2.3789145284357698</c:v>
                </c:pt>
                <c:pt idx="2">
                  <c:v>2.2837305058683364</c:v>
                </c:pt>
                <c:pt idx="3">
                  <c:v>2.2826092842550869</c:v>
                </c:pt>
                <c:pt idx="4">
                  <c:v>2.2681503233783524</c:v>
                </c:pt>
                <c:pt idx="5">
                  <c:v>2.2454927628962249</c:v>
                </c:pt>
                <c:pt idx="6">
                  <c:v>2.2550518059254334</c:v>
                </c:pt>
                <c:pt idx="7">
                  <c:v>2.3240339428208606E-2</c:v>
                </c:pt>
                <c:pt idx="8">
                  <c:v>2.2399759627855498</c:v>
                </c:pt>
                <c:pt idx="9">
                  <c:v>2.295307437765099</c:v>
                </c:pt>
                <c:pt idx="10">
                  <c:v>2.3004082723035952</c:v>
                </c:pt>
                <c:pt idx="11">
                  <c:v>2.3041868593812906</c:v>
                </c:pt>
                <c:pt idx="12">
                  <c:v>2.3311303066499565</c:v>
                </c:pt>
                <c:pt idx="13">
                  <c:v>2.3000938483787623</c:v>
                </c:pt>
                <c:pt idx="14">
                  <c:v>2.3156599341691826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DC6C-4B09-94A5-3F473AF9E7D3}"/>
            </c:ext>
          </c:extLst>
        </c:ser>
        <c:ser>
          <c:idx val="1"/>
          <c:order val="1"/>
          <c:tx>
            <c:v>Si - inlet (reactor A)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'[2]SOLUTION COMP'!$D$35:$D$41</c:f>
              <c:numCache>
                <c:formatCode>General</c:formatCode>
                <c:ptCount val="7"/>
                <c:pt idx="0">
                  <c:v>0</c:v>
                </c:pt>
                <c:pt idx="1">
                  <c:v>23.666666666666668</c:v>
                </c:pt>
                <c:pt idx="2">
                  <c:v>49.666666666666671</c:v>
                </c:pt>
                <c:pt idx="3">
                  <c:v>79.333333333333343</c:v>
                </c:pt>
                <c:pt idx="4">
                  <c:v>102.83333333333334</c:v>
                </c:pt>
                <c:pt idx="5">
                  <c:v>151.33333333333334</c:v>
                </c:pt>
                <c:pt idx="6">
                  <c:v>198.83333333333334</c:v>
                </c:pt>
              </c:numCache>
            </c:numRef>
          </c:xVal>
          <c:yVal>
            <c:numRef>
              <c:f>'[2]SOLUTION COMP'!$Q$35:$Q$41</c:f>
              <c:numCache>
                <c:formatCode>General</c:formatCode>
                <c:ptCount val="7"/>
                <c:pt idx="0">
                  <c:v>2.5447003230665128</c:v>
                </c:pt>
                <c:pt idx="1">
                  <c:v>2.500214043612845</c:v>
                </c:pt>
                <c:pt idx="2">
                  <c:v>2.5200612409260779</c:v>
                </c:pt>
                <c:pt idx="3">
                  <c:v>2.5922838325955007</c:v>
                </c:pt>
                <c:pt idx="4">
                  <c:v>2.6021573421230704</c:v>
                </c:pt>
                <c:pt idx="5">
                  <c:v>2.7096391478029296</c:v>
                </c:pt>
                <c:pt idx="6">
                  <c:v>2.7213032787965878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DC6C-4B09-94A5-3F473AF9E7D3}"/>
            </c:ext>
          </c:extLst>
        </c:ser>
        <c:ser>
          <c:idx val="2"/>
          <c:order val="2"/>
          <c:tx>
            <c:v>Si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'[2]SOLUTION COMP'!$D$58:$D$72</c:f>
              <c:numCache>
                <c:formatCode>General</c:formatCode>
                <c:ptCount val="15"/>
                <c:pt idx="0">
                  <c:v>1</c:v>
                </c:pt>
                <c:pt idx="1">
                  <c:v>8</c:v>
                </c:pt>
                <c:pt idx="2">
                  <c:v>23</c:v>
                </c:pt>
                <c:pt idx="3">
                  <c:v>28</c:v>
                </c:pt>
                <c:pt idx="4">
                  <c:v>33</c:v>
                </c:pt>
                <c:pt idx="5">
                  <c:v>47.583333333333336</c:v>
                </c:pt>
                <c:pt idx="6">
                  <c:v>53.833333333333336</c:v>
                </c:pt>
                <c:pt idx="7">
                  <c:v>74.083333333333343</c:v>
                </c:pt>
                <c:pt idx="8">
                  <c:v>98.333333333333343</c:v>
                </c:pt>
                <c:pt idx="9">
                  <c:v>146.08333333333334</c:v>
                </c:pt>
                <c:pt idx="10">
                  <c:v>167.16666666666666</c:v>
                </c:pt>
                <c:pt idx="11">
                  <c:v>171.83333333333331</c:v>
                </c:pt>
                <c:pt idx="12">
                  <c:v>176.83333333333331</c:v>
                </c:pt>
                <c:pt idx="13">
                  <c:v>191</c:v>
                </c:pt>
                <c:pt idx="14">
                  <c:v>195.83333333333334</c:v>
                </c:pt>
              </c:numCache>
            </c:numRef>
          </c:xVal>
          <c:yVal>
            <c:numRef>
              <c:f>'[2]SOLUTION COMP'!$T$58:$T$72</c:f>
              <c:numCache>
                <c:formatCode>General</c:formatCode>
                <c:ptCount val="15"/>
                <c:pt idx="0">
                  <c:v>2.5095571803384966</c:v>
                </c:pt>
                <c:pt idx="1">
                  <c:v>2.367645146277455</c:v>
                </c:pt>
                <c:pt idx="2">
                  <c:v>2.2959675951190768</c:v>
                </c:pt>
                <c:pt idx="3">
                  <c:v>2.2900520449540851</c:v>
                </c:pt>
                <c:pt idx="4">
                  <c:v>2.2698833694053966</c:v>
                </c:pt>
                <c:pt idx="5">
                  <c:v>2.226251339148237</c:v>
                </c:pt>
                <c:pt idx="6">
                  <c:v>2.2378434667754821</c:v>
                </c:pt>
                <c:pt idx="7">
                  <c:v>2.2862021361868385</c:v>
                </c:pt>
                <c:pt idx="8">
                  <c:v>2.239431591211718</c:v>
                </c:pt>
                <c:pt idx="9">
                  <c:v>2.2989528216763615</c:v>
                </c:pt>
                <c:pt idx="10">
                  <c:v>2.293190767718098</c:v>
                </c:pt>
                <c:pt idx="11">
                  <c:v>2.2878339386868118</c:v>
                </c:pt>
                <c:pt idx="12">
                  <c:v>2.348399317184271</c:v>
                </c:pt>
                <c:pt idx="13">
                  <c:v>2.315644714151623</c:v>
                </c:pt>
                <c:pt idx="14">
                  <c:v>2.2887248374716065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DC6C-4B09-94A5-3F473AF9E7D3}"/>
            </c:ext>
          </c:extLst>
        </c:ser>
        <c:ser>
          <c:idx val="3"/>
          <c:order val="3"/>
          <c:tx>
            <c:v>Si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'SOLUTION COMP'!#REF!</c:f>
            </c:numRef>
          </c:xVal>
          <c:yVal>
            <c:numRef>
              <c:f>'SOLUTION COMP'!#REF!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DC6C-4B09-94A5-3F473AF9E7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1"/>
    <c:plotArea>
      <c:layout>
        <c:manualLayout>
          <c:layoutTarget val="inner"/>
          <c:xMode val="edge"/>
          <c:yMode val="edge"/>
          <c:x val="0.15621981627296586"/>
          <c:y val="8.7421389847893327E-2"/>
          <c:w val="0.5698299632166649"/>
          <c:h val="0.73587951781264604"/>
        </c:manualLayout>
      </c:layout>
      <c:scatterChart>
        <c:scatterStyle val="lineMarker"/>
        <c:varyColors val="0"/>
        <c:ser>
          <c:idx val="2"/>
          <c:order val="0"/>
          <c:tx>
            <c:v>Si - outlet (reactor B)</c:v>
          </c:tx>
          <c:spPr>
            <a:ln w="25400" cap="rnd">
              <a:noFill/>
              <a:round/>
            </a:ln>
            <a:effectLst/>
          </c:spPr>
          <c:marker>
            <c:symbol val="square"/>
            <c:size val="7"/>
            <c:spPr>
              <a:solidFill>
                <a:srgbClr val="FFCBF6"/>
              </a:solidFill>
              <a:ln w="9525">
                <a:solidFill>
                  <a:srgbClr val="FFCBF6"/>
                </a:solidFill>
              </a:ln>
              <a:effectLst/>
            </c:spPr>
          </c:marker>
          <c:xVal>
            <c:numRef>
              <c:f>'[2]SOLUTION COMP'!$D$58:$D$72</c:f>
              <c:numCache>
                <c:formatCode>General</c:formatCode>
                <c:ptCount val="15"/>
                <c:pt idx="0">
                  <c:v>1</c:v>
                </c:pt>
                <c:pt idx="1">
                  <c:v>8</c:v>
                </c:pt>
                <c:pt idx="2">
                  <c:v>23</c:v>
                </c:pt>
                <c:pt idx="3">
                  <c:v>28</c:v>
                </c:pt>
                <c:pt idx="4">
                  <c:v>33</c:v>
                </c:pt>
                <c:pt idx="5">
                  <c:v>47.583333333333336</c:v>
                </c:pt>
                <c:pt idx="6">
                  <c:v>53.833333333333336</c:v>
                </c:pt>
                <c:pt idx="7">
                  <c:v>74.083333333333343</c:v>
                </c:pt>
                <c:pt idx="8">
                  <c:v>98.333333333333343</c:v>
                </c:pt>
                <c:pt idx="9">
                  <c:v>146.08333333333334</c:v>
                </c:pt>
                <c:pt idx="10">
                  <c:v>167.16666666666666</c:v>
                </c:pt>
                <c:pt idx="11">
                  <c:v>171.83333333333331</c:v>
                </c:pt>
                <c:pt idx="12">
                  <c:v>176.83333333333331</c:v>
                </c:pt>
                <c:pt idx="13">
                  <c:v>191</c:v>
                </c:pt>
                <c:pt idx="14">
                  <c:v>195.83333333333334</c:v>
                </c:pt>
              </c:numCache>
            </c:numRef>
          </c:xVal>
          <c:yVal>
            <c:numRef>
              <c:f>'[2]SOLUTION COMP'!$T$58:$T$72</c:f>
              <c:numCache>
                <c:formatCode>General</c:formatCode>
                <c:ptCount val="15"/>
                <c:pt idx="0">
                  <c:v>2.5095571803384966</c:v>
                </c:pt>
                <c:pt idx="1">
                  <c:v>2.367645146277455</c:v>
                </c:pt>
                <c:pt idx="2">
                  <c:v>2.2959675951190768</c:v>
                </c:pt>
                <c:pt idx="3">
                  <c:v>2.2900520449540851</c:v>
                </c:pt>
                <c:pt idx="4">
                  <c:v>2.2698833694053966</c:v>
                </c:pt>
                <c:pt idx="5">
                  <c:v>2.226251339148237</c:v>
                </c:pt>
                <c:pt idx="6">
                  <c:v>2.2378434667754821</c:v>
                </c:pt>
                <c:pt idx="7">
                  <c:v>2.2862021361868385</c:v>
                </c:pt>
                <c:pt idx="8">
                  <c:v>2.239431591211718</c:v>
                </c:pt>
                <c:pt idx="9">
                  <c:v>2.2989528216763615</c:v>
                </c:pt>
                <c:pt idx="10">
                  <c:v>2.293190767718098</c:v>
                </c:pt>
                <c:pt idx="11">
                  <c:v>2.2878339386868118</c:v>
                </c:pt>
                <c:pt idx="12">
                  <c:v>2.348399317184271</c:v>
                </c:pt>
                <c:pt idx="13">
                  <c:v>2.315644714151623</c:v>
                </c:pt>
                <c:pt idx="14">
                  <c:v>2.2887248374716065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F78-4A9C-A3B9-BBF5005E6A6A}"/>
            </c:ext>
          </c:extLst>
        </c:ser>
        <c:ser>
          <c:idx val="3"/>
          <c:order val="1"/>
          <c:tx>
            <c:v>Si - inlet (reactor B)</c:v>
          </c:tx>
          <c:spPr>
            <a:ln w="25400" cap="rnd">
              <a:noFill/>
              <a:round/>
            </a:ln>
            <a:effectLst/>
          </c:spPr>
          <c:marker>
            <c:symbol val="triangle"/>
            <c:size val="8"/>
            <c:spPr>
              <a:solidFill>
                <a:srgbClr val="A4F9FF"/>
              </a:solidFill>
              <a:ln w="9525">
                <a:solidFill>
                  <a:srgbClr val="A4F9FF"/>
                </a:solidFill>
              </a:ln>
              <a:effectLst/>
            </c:spPr>
          </c:marker>
          <c:xVal>
            <c:numRef>
              <c:f>'[2]SOLUTION COMP'!$D$35:$D$41</c:f>
              <c:numCache>
                <c:formatCode>General</c:formatCode>
                <c:ptCount val="7"/>
                <c:pt idx="0">
                  <c:v>0</c:v>
                </c:pt>
                <c:pt idx="1">
                  <c:v>23.666666666666668</c:v>
                </c:pt>
                <c:pt idx="2">
                  <c:v>49.666666666666671</c:v>
                </c:pt>
                <c:pt idx="3">
                  <c:v>79.333333333333343</c:v>
                </c:pt>
                <c:pt idx="4">
                  <c:v>102.83333333333334</c:v>
                </c:pt>
                <c:pt idx="5">
                  <c:v>151.33333333333334</c:v>
                </c:pt>
                <c:pt idx="6">
                  <c:v>198.83333333333334</c:v>
                </c:pt>
              </c:numCache>
            </c:numRef>
          </c:xVal>
          <c:yVal>
            <c:numRef>
              <c:f>'[2]SOLUTION COMP'!$Q$35:$Q$41</c:f>
              <c:numCache>
                <c:formatCode>General</c:formatCode>
                <c:ptCount val="7"/>
                <c:pt idx="0">
                  <c:v>2.5447003230665128</c:v>
                </c:pt>
                <c:pt idx="1">
                  <c:v>2.500214043612845</c:v>
                </c:pt>
                <c:pt idx="2">
                  <c:v>2.5200612409260779</c:v>
                </c:pt>
                <c:pt idx="3">
                  <c:v>2.5922838325955007</c:v>
                </c:pt>
                <c:pt idx="4">
                  <c:v>2.6021573421230704</c:v>
                </c:pt>
                <c:pt idx="5">
                  <c:v>2.7096391478029296</c:v>
                </c:pt>
                <c:pt idx="6">
                  <c:v>2.7213032787965878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F78-4A9C-A3B9-BBF5005E6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0075567"/>
        <c:axId val="230077247"/>
      </c:scatterChart>
      <c:valAx>
        <c:axId val="230075567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Time (h)</a:t>
                </a:r>
              </a:p>
            </c:rich>
          </c:tx>
          <c:layout>
            <c:manualLayout>
              <c:xMode val="edge"/>
              <c:yMode val="edge"/>
              <c:x val="0.41218292919228267"/>
              <c:y val="0.9018556936435334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7247"/>
        <c:crosses val="autoZero"/>
        <c:crossBetween val="midCat"/>
      </c:valAx>
      <c:valAx>
        <c:axId val="230077247"/>
        <c:scaling>
          <c:orientation val="minMax"/>
          <c:min val="0.60000000000000009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 sz="110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Concentration</a:t>
                </a:r>
                <a:r>
                  <a:rPr lang="en-US" sz="1100" baseline="0"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rPr>
                  <a:t> (mM)</a:t>
                </a:r>
                <a:endParaRPr lang="en-US" sz="11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endParaRPr>
              </a:p>
            </c:rich>
          </c:tx>
          <c:layout>
            <c:manualLayout>
              <c:xMode val="edge"/>
              <c:yMode val="edge"/>
              <c:x val="7.2738168363906924E-2"/>
              <c:y val="0.3199866204265919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30075567"/>
        <c:crosses val="autoZero"/>
        <c:crossBetween val="midCat"/>
        <c:majorUnit val="0.1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76643933479212711"/>
          <c:y val="0.26779963561525066"/>
          <c:w val="0.20263088270545471"/>
          <c:h val="0.25684104053465101"/>
        </c:manualLayout>
      </c:layout>
      <c:overlay val="0"/>
      <c:spPr>
        <a:noFill/>
        <a:ln>
          <a:solidFill>
            <a:sysClr val="windowText" lastClr="000000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6.xml"/><Relationship Id="rId1" Type="http://schemas.openxmlformats.org/officeDocument/2006/relationships/chart" Target="../charts/chart35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9.xml"/><Relationship Id="rId2" Type="http://schemas.openxmlformats.org/officeDocument/2006/relationships/chart" Target="../charts/chart8.xml"/><Relationship Id="rId1" Type="http://schemas.openxmlformats.org/officeDocument/2006/relationships/chart" Target="../charts/chart7.xml"/><Relationship Id="rId6" Type="http://schemas.openxmlformats.org/officeDocument/2006/relationships/chart" Target="../charts/chart12.xml"/><Relationship Id="rId5" Type="http://schemas.openxmlformats.org/officeDocument/2006/relationships/chart" Target="../charts/chart11.xml"/><Relationship Id="rId4" Type="http://schemas.openxmlformats.org/officeDocument/2006/relationships/chart" Target="../charts/chart10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5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1.xml"/><Relationship Id="rId2" Type="http://schemas.openxmlformats.org/officeDocument/2006/relationships/chart" Target="../charts/chart20.xml"/><Relationship Id="rId1" Type="http://schemas.openxmlformats.org/officeDocument/2006/relationships/chart" Target="../charts/chart19.xml"/><Relationship Id="rId6" Type="http://schemas.openxmlformats.org/officeDocument/2006/relationships/chart" Target="../charts/chart24.xml"/><Relationship Id="rId5" Type="http://schemas.openxmlformats.org/officeDocument/2006/relationships/chart" Target="../charts/chart23.xml"/><Relationship Id="rId4" Type="http://schemas.openxmlformats.org/officeDocument/2006/relationships/chart" Target="../charts/chart22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6.xml"/><Relationship Id="rId1" Type="http://schemas.openxmlformats.org/officeDocument/2006/relationships/chart" Target="../charts/chart25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8.xml"/><Relationship Id="rId1" Type="http://schemas.openxmlformats.org/officeDocument/2006/relationships/chart" Target="../charts/chart27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0.xml"/><Relationship Id="rId1" Type="http://schemas.openxmlformats.org/officeDocument/2006/relationships/chart" Target="../charts/chart2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2.xml"/><Relationship Id="rId1" Type="http://schemas.openxmlformats.org/officeDocument/2006/relationships/chart" Target="../charts/chart31.xml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4.xml"/><Relationship Id="rId1" Type="http://schemas.openxmlformats.org/officeDocument/2006/relationships/chart" Target="../charts/chart3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681184</xdr:colOff>
      <xdr:row>8</xdr:row>
      <xdr:rowOff>140854</xdr:rowOff>
    </xdr:from>
    <xdr:to>
      <xdr:col>35</xdr:col>
      <xdr:colOff>600363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441595-95DE-443A-9C1A-5C68F24D1E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34</xdr:row>
      <xdr:rowOff>0</xdr:rowOff>
    </xdr:from>
    <xdr:to>
      <xdr:col>35</xdr:col>
      <xdr:colOff>750452</xdr:colOff>
      <xdr:row>54</xdr:row>
      <xdr:rowOff>193964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48A46B9-3BB0-44D1-8AAC-0896CF4D6F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0</xdr:colOff>
      <xdr:row>34</xdr:row>
      <xdr:rowOff>0</xdr:rowOff>
    </xdr:from>
    <xdr:to>
      <xdr:col>45</xdr:col>
      <xdr:colOff>750452</xdr:colOff>
      <xdr:row>54</xdr:row>
      <xdr:rowOff>193964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BE46F86-7F86-45CD-A787-CD0C226D19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47</xdr:col>
      <xdr:colOff>0</xdr:colOff>
      <xdr:row>34</xdr:row>
      <xdr:rowOff>0</xdr:rowOff>
    </xdr:from>
    <xdr:to>
      <xdr:col>55</xdr:col>
      <xdr:colOff>750452</xdr:colOff>
      <xdr:row>54</xdr:row>
      <xdr:rowOff>193964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58322A7F-C12B-42E1-AAAD-4E4E011889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0</xdr:colOff>
      <xdr:row>9</xdr:row>
      <xdr:rowOff>0</xdr:rowOff>
    </xdr:from>
    <xdr:to>
      <xdr:col>45</xdr:col>
      <xdr:colOff>750452</xdr:colOff>
      <xdr:row>29</xdr:row>
      <xdr:rowOff>43873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2ABC6F2-C0AE-49B9-9EE3-123B35F8F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0</xdr:colOff>
      <xdr:row>9</xdr:row>
      <xdr:rowOff>0</xdr:rowOff>
    </xdr:from>
    <xdr:to>
      <xdr:col>55</xdr:col>
      <xdr:colOff>750452</xdr:colOff>
      <xdr:row>29</xdr:row>
      <xdr:rowOff>43873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B63FFD-941A-46C4-86DC-3A639E1A4C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1428750</xdr:colOff>
      <xdr:row>14</xdr:row>
      <xdr:rowOff>41275</xdr:rowOff>
    </xdr:from>
    <xdr:to>
      <xdr:col>28</xdr:col>
      <xdr:colOff>460375</xdr:colOff>
      <xdr:row>33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800F1AE-47B7-4D3E-887F-F9CEB588FF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1485901</xdr:colOff>
      <xdr:row>41</xdr:row>
      <xdr:rowOff>50800</xdr:rowOff>
    </xdr:from>
    <xdr:to>
      <xdr:col>28</xdr:col>
      <xdr:colOff>444501</xdr:colOff>
      <xdr:row>60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ED4911F-7320-489E-BF49-A7334482E6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681184</xdr:colOff>
      <xdr:row>8</xdr:row>
      <xdr:rowOff>140854</xdr:rowOff>
    </xdr:from>
    <xdr:to>
      <xdr:col>35</xdr:col>
      <xdr:colOff>600363</xdr:colOff>
      <xdr:row>29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C347FB1-BFC9-45CA-8B4A-542FFA823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33</xdr:row>
      <xdr:rowOff>0</xdr:rowOff>
    </xdr:from>
    <xdr:to>
      <xdr:col>35</xdr:col>
      <xdr:colOff>750452</xdr:colOff>
      <xdr:row>56</xdr:row>
      <xdr:rowOff>193964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71C204E-A15D-4341-A4F2-0F95CFD9553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0</xdr:colOff>
      <xdr:row>33</xdr:row>
      <xdr:rowOff>0</xdr:rowOff>
    </xdr:from>
    <xdr:to>
      <xdr:col>45</xdr:col>
      <xdr:colOff>750452</xdr:colOff>
      <xdr:row>56</xdr:row>
      <xdr:rowOff>193964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9032330B-41E8-4B15-85DB-810ECCCF25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47</xdr:col>
      <xdr:colOff>0</xdr:colOff>
      <xdr:row>33</xdr:row>
      <xdr:rowOff>0</xdr:rowOff>
    </xdr:from>
    <xdr:to>
      <xdr:col>55</xdr:col>
      <xdr:colOff>750452</xdr:colOff>
      <xdr:row>56</xdr:row>
      <xdr:rowOff>193964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9C50A7B-5350-499F-B42D-F4ECEF7489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0</xdr:colOff>
      <xdr:row>9</xdr:row>
      <xdr:rowOff>0</xdr:rowOff>
    </xdr:from>
    <xdr:to>
      <xdr:col>45</xdr:col>
      <xdr:colOff>750452</xdr:colOff>
      <xdr:row>29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700290E-6393-4BC8-AB56-E957C016A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0</xdr:colOff>
      <xdr:row>9</xdr:row>
      <xdr:rowOff>0</xdr:rowOff>
    </xdr:from>
    <xdr:to>
      <xdr:col>55</xdr:col>
      <xdr:colOff>750452</xdr:colOff>
      <xdr:row>29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2E6C3EB6-A4C1-429F-A7DA-AC9DB952AD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681184</xdr:colOff>
      <xdr:row>8</xdr:row>
      <xdr:rowOff>140854</xdr:rowOff>
    </xdr:from>
    <xdr:to>
      <xdr:col>35</xdr:col>
      <xdr:colOff>600363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959D899-FE13-4045-963A-08AD149061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37</xdr:col>
      <xdr:colOff>0</xdr:colOff>
      <xdr:row>29</xdr:row>
      <xdr:rowOff>0</xdr:rowOff>
    </xdr:from>
    <xdr:to>
      <xdr:col>45</xdr:col>
      <xdr:colOff>750452</xdr:colOff>
      <xdr:row>48</xdr:row>
      <xdr:rowOff>193964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9236E02-9FEB-46C5-AE6B-7C11DC83F7F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47</xdr:col>
      <xdr:colOff>0</xdr:colOff>
      <xdr:row>29</xdr:row>
      <xdr:rowOff>0</xdr:rowOff>
    </xdr:from>
    <xdr:to>
      <xdr:col>55</xdr:col>
      <xdr:colOff>750452</xdr:colOff>
      <xdr:row>48</xdr:row>
      <xdr:rowOff>193964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4D05E44-2E52-455B-8B75-4F0CC037C5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37</xdr:col>
      <xdr:colOff>0</xdr:colOff>
      <xdr:row>9</xdr:row>
      <xdr:rowOff>0</xdr:rowOff>
    </xdr:from>
    <xdr:to>
      <xdr:col>45</xdr:col>
      <xdr:colOff>750452</xdr:colOff>
      <xdr:row>25</xdr:row>
      <xdr:rowOff>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0166AD4-872C-453A-BD0E-F0239EA28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47</xdr:col>
      <xdr:colOff>0</xdr:colOff>
      <xdr:row>9</xdr:row>
      <xdr:rowOff>0</xdr:rowOff>
    </xdr:from>
    <xdr:to>
      <xdr:col>55</xdr:col>
      <xdr:colOff>750452</xdr:colOff>
      <xdr:row>25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94B16B65-D24B-4D04-9ED9-0B3F57658C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27</xdr:col>
      <xdr:colOff>0</xdr:colOff>
      <xdr:row>30</xdr:row>
      <xdr:rowOff>0</xdr:rowOff>
    </xdr:from>
    <xdr:to>
      <xdr:col>35</xdr:col>
      <xdr:colOff>744679</xdr:colOff>
      <xdr:row>46</xdr:row>
      <xdr:rowOff>11546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5175F06-AE69-4140-BACB-E78D70FE26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681184</xdr:colOff>
      <xdr:row>8</xdr:row>
      <xdr:rowOff>140854</xdr:rowOff>
    </xdr:from>
    <xdr:to>
      <xdr:col>35</xdr:col>
      <xdr:colOff>600363</xdr:colOff>
      <xdr:row>25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EAB0622D-3B12-4BB7-AC6D-F14D253CA8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0</xdr:colOff>
      <xdr:row>29</xdr:row>
      <xdr:rowOff>0</xdr:rowOff>
    </xdr:from>
    <xdr:to>
      <xdr:col>35</xdr:col>
      <xdr:colOff>750452</xdr:colOff>
      <xdr:row>50</xdr:row>
      <xdr:rowOff>193964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5318B23-8316-47F8-BD68-3BE73F016F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37</xdr:col>
      <xdr:colOff>0</xdr:colOff>
      <xdr:row>29</xdr:row>
      <xdr:rowOff>0</xdr:rowOff>
    </xdr:from>
    <xdr:to>
      <xdr:col>45</xdr:col>
      <xdr:colOff>750452</xdr:colOff>
      <xdr:row>50</xdr:row>
      <xdr:rowOff>193964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CB1FC255-F38F-4903-8AB6-B535B39326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47</xdr:col>
      <xdr:colOff>0</xdr:colOff>
      <xdr:row>29</xdr:row>
      <xdr:rowOff>0</xdr:rowOff>
    </xdr:from>
    <xdr:to>
      <xdr:col>55</xdr:col>
      <xdr:colOff>750452</xdr:colOff>
      <xdr:row>50</xdr:row>
      <xdr:rowOff>193964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0FBE160-2CB3-4734-A2FA-D89D3BAFA8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37</xdr:col>
      <xdr:colOff>0</xdr:colOff>
      <xdr:row>9</xdr:row>
      <xdr:rowOff>0</xdr:rowOff>
    </xdr:from>
    <xdr:to>
      <xdr:col>45</xdr:col>
      <xdr:colOff>750452</xdr:colOff>
      <xdr:row>25</xdr:row>
      <xdr:rowOff>0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7B03D30-44A1-46CF-9700-2E33E05C82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47</xdr:col>
      <xdr:colOff>0</xdr:colOff>
      <xdr:row>9</xdr:row>
      <xdr:rowOff>0</xdr:rowOff>
    </xdr:from>
    <xdr:to>
      <xdr:col>55</xdr:col>
      <xdr:colOff>750452</xdr:colOff>
      <xdr:row>25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CCE49BAF-899C-4085-A9CB-1E79E27CDD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1428750</xdr:colOff>
      <xdr:row>10</xdr:row>
      <xdr:rowOff>41275</xdr:rowOff>
    </xdr:from>
    <xdr:to>
      <xdr:col>28</xdr:col>
      <xdr:colOff>460375</xdr:colOff>
      <xdr:row>32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53F07B9-5068-426D-8527-D3118BE81E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43</xdr:row>
      <xdr:rowOff>0</xdr:rowOff>
    </xdr:from>
    <xdr:to>
      <xdr:col>28</xdr:col>
      <xdr:colOff>650875</xdr:colOff>
      <xdr:row>62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CE92061B-6AB0-4279-8CEC-0A043741BA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1428750</xdr:colOff>
      <xdr:row>10</xdr:row>
      <xdr:rowOff>41275</xdr:rowOff>
    </xdr:from>
    <xdr:to>
      <xdr:col>28</xdr:col>
      <xdr:colOff>460375</xdr:colOff>
      <xdr:row>32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49C61E-AD52-4060-9623-618D368275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21</xdr:col>
      <xdr:colOff>0</xdr:colOff>
      <xdr:row>43</xdr:row>
      <xdr:rowOff>0</xdr:rowOff>
    </xdr:from>
    <xdr:to>
      <xdr:col>28</xdr:col>
      <xdr:colOff>650875</xdr:colOff>
      <xdr:row>62</xdr:row>
      <xdr:rowOff>69850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D0F2D3A-1A4C-46E8-A1DA-CAD2909B7F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1428750</xdr:colOff>
      <xdr:row>10</xdr:row>
      <xdr:rowOff>41275</xdr:rowOff>
    </xdr:from>
    <xdr:to>
      <xdr:col>28</xdr:col>
      <xdr:colOff>460375</xdr:colOff>
      <xdr:row>31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1C20EA8-B040-42BC-A51A-6E8973D1AAB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1485901</xdr:colOff>
      <xdr:row>39</xdr:row>
      <xdr:rowOff>50800</xdr:rowOff>
    </xdr:from>
    <xdr:to>
      <xdr:col>28</xdr:col>
      <xdr:colOff>444501</xdr:colOff>
      <xdr:row>60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212365-25E1-464B-B9DB-AF16472194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1428750</xdr:colOff>
      <xdr:row>10</xdr:row>
      <xdr:rowOff>41275</xdr:rowOff>
    </xdr:from>
    <xdr:to>
      <xdr:col>28</xdr:col>
      <xdr:colOff>460375</xdr:colOff>
      <xdr:row>31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4DEE169-7DAB-4471-89EE-DCD6A34EEA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1485901</xdr:colOff>
      <xdr:row>39</xdr:row>
      <xdr:rowOff>50800</xdr:rowOff>
    </xdr:from>
    <xdr:to>
      <xdr:col>28</xdr:col>
      <xdr:colOff>444501</xdr:colOff>
      <xdr:row>60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FA63A06-AA34-4D7D-80B6-EBE3F08133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1428750</xdr:colOff>
      <xdr:row>14</xdr:row>
      <xdr:rowOff>41275</xdr:rowOff>
    </xdr:from>
    <xdr:to>
      <xdr:col>28</xdr:col>
      <xdr:colOff>460375</xdr:colOff>
      <xdr:row>33</xdr:row>
      <xdr:rowOff>111125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12D5A75-7CA3-4A28-AB48-5643C01A99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20</xdr:col>
      <xdr:colOff>1485901</xdr:colOff>
      <xdr:row>41</xdr:row>
      <xdr:rowOff>50800</xdr:rowOff>
    </xdr:from>
    <xdr:to>
      <xdr:col>28</xdr:col>
      <xdr:colOff>444501</xdr:colOff>
      <xdr:row>60</xdr:row>
      <xdr:rowOff>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8585F14C-AE82-4A33-862A-5F8A3CF051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precipitation_FT60_SI18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eke/Documents/PhD/Experimental%20research%20PhD/Sepiolite%20Dissolution/FT-dissolution-SI-pH8/SPDFT_pH8x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precipitation_FT60_SI18x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precipitation_FT60_SI18x2-5-r3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Sepiolite_precipitation_FT60_SI18x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eke/Documents/PhD/Experimental%20research%20PhD/Sepiolite%20Dissolution/FT-dissolution-SI-pH8/SPDFT_pH8-SI-infinity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eke/Documents/PhD/Experimental%20research%20PhD/Sepiolite%20Dissolution/FT-dissolution-SI-pH8/SPDFT_pH8x2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eke/Documents/PhD/Experimental%20research%20PhD/Sepiolite%20Dissolution/FT-dissolution-SI-pH8/SPDFT_pH8x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eke/Documents/PhD/Experimental%20research%20PhD/Sepiolite%20Dissolution/FT-dissolution-SI-pH8/SPDFT_pH8x5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ieke/Documents/PhD/Experimental%20research%20PhD/Sepiolite%20Dissolution/FT-dissolution-SI-pH8/SPDFT_pH8x8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conditions"/>
      <sheetName val="SOLUTION COMP"/>
    </sheetNames>
    <sheetDataSet>
      <sheetData sheetId="0"/>
      <sheetData sheetId="1">
        <row r="15">
          <cell r="D15">
            <v>0.5</v>
          </cell>
          <cell r="R15">
            <v>1.5782135392127907</v>
          </cell>
          <cell r="T15">
            <v>2.4955543633300152</v>
          </cell>
        </row>
        <row r="16">
          <cell r="D16">
            <v>3.5</v>
          </cell>
          <cell r="R16">
            <v>1.4278678437348102</v>
          </cell>
          <cell r="T16">
            <v>2.4374438942521084</v>
          </cell>
        </row>
        <row r="17">
          <cell r="D17">
            <v>6.5</v>
          </cell>
          <cell r="R17">
            <v>1.4434131065130329</v>
          </cell>
          <cell r="T17">
            <v>2.3882401596173257</v>
          </cell>
        </row>
        <row r="18">
          <cell r="D18">
            <v>9.5</v>
          </cell>
          <cell r="R18">
            <v>1.4478778122047355</v>
          </cell>
          <cell r="T18">
            <v>2.3322057875823692</v>
          </cell>
        </row>
        <row r="19">
          <cell r="D19">
            <v>27.5</v>
          </cell>
          <cell r="R19">
            <v>1.4610620482761527</v>
          </cell>
          <cell r="T19">
            <v>2.3335840033801087</v>
          </cell>
        </row>
        <row r="20">
          <cell r="D20">
            <v>51.75</v>
          </cell>
          <cell r="R20">
            <v>1.4321689783167164</v>
          </cell>
          <cell r="T20">
            <v>2.3097571405328798</v>
          </cell>
        </row>
        <row r="21">
          <cell r="D21">
            <v>54.25</v>
          </cell>
          <cell r="R21">
            <v>1.4134353369987409</v>
          </cell>
          <cell r="T21">
            <v>2.3061818008888579</v>
          </cell>
        </row>
        <row r="22">
          <cell r="D22">
            <v>56.833333333333336</v>
          </cell>
          <cell r="R22">
            <v>1.4531966905059208</v>
          </cell>
          <cell r="T22">
            <v>2.3233017865430248</v>
          </cell>
        </row>
        <row r="23">
          <cell r="D23">
            <v>75.25</v>
          </cell>
          <cell r="R23">
            <v>1.4758902380579482</v>
          </cell>
          <cell r="T23">
            <v>2.3443057519398671</v>
          </cell>
        </row>
        <row r="24">
          <cell r="D24">
            <v>77.75</v>
          </cell>
          <cell r="R24">
            <v>1.4278238111961916</v>
          </cell>
          <cell r="T24">
            <v>2.3263571622904888</v>
          </cell>
        </row>
        <row r="25">
          <cell r="D25">
            <v>80.333333333333329</v>
          </cell>
          <cell r="R25">
            <v>1.4099698344364726</v>
          </cell>
          <cell r="T25">
            <v>2.2946835319791479</v>
          </cell>
        </row>
        <row r="26">
          <cell r="D26">
            <v>96.25</v>
          </cell>
          <cell r="R26">
            <v>1.4122332538408966</v>
          </cell>
          <cell r="T26">
            <v>2.3353015197977078</v>
          </cell>
        </row>
        <row r="27">
          <cell r="D27">
            <v>100.16666666666667</v>
          </cell>
          <cell r="R27">
            <v>1.4131602349233578</v>
          </cell>
          <cell r="T27">
            <v>2.3079910394501506</v>
          </cell>
        </row>
        <row r="28">
          <cell r="D28">
            <v>103.08333333333334</v>
          </cell>
          <cell r="R28">
            <v>1.4337033111823843</v>
          </cell>
          <cell r="T28">
            <v>2.3371388256865715</v>
          </cell>
        </row>
        <row r="29">
          <cell r="D29">
            <v>106.25000000000001</v>
          </cell>
          <cell r="R29">
            <v>1.419795478263332</v>
          </cell>
          <cell r="T29">
            <v>2.3562738970989496</v>
          </cell>
        </row>
        <row r="36">
          <cell r="D36">
            <v>0</v>
          </cell>
          <cell r="O36">
            <v>1.6321552630714335</v>
          </cell>
          <cell r="Q36">
            <v>2.525137316910786</v>
          </cell>
        </row>
        <row r="37">
          <cell r="D37">
            <v>52.166666666666664</v>
          </cell>
          <cell r="O37">
            <v>1.639708487671653</v>
          </cell>
          <cell r="Q37">
            <v>2.4989207841925052</v>
          </cell>
        </row>
        <row r="38">
          <cell r="D38">
            <v>75.416666666666657</v>
          </cell>
          <cell r="O38">
            <v>1.6151403080316387</v>
          </cell>
          <cell r="Q38">
            <v>2.5006228167637961</v>
          </cell>
        </row>
        <row r="39">
          <cell r="D39">
            <v>100.91666666666666</v>
          </cell>
          <cell r="O39">
            <v>1.5963811622993345</v>
          </cell>
          <cell r="Q39">
            <v>2.4976317361165505</v>
          </cell>
        </row>
        <row r="56">
          <cell r="D56">
            <v>0.5</v>
          </cell>
          <cell r="R56">
            <v>1.4942984079743513</v>
          </cell>
          <cell r="T56">
            <v>2.5178246919416885</v>
          </cell>
        </row>
        <row r="57">
          <cell r="D57">
            <v>3.5</v>
          </cell>
          <cell r="R57">
            <v>1.5764876056325319</v>
          </cell>
          <cell r="T57">
            <v>2.4376636706613404</v>
          </cell>
        </row>
        <row r="58">
          <cell r="D58">
            <v>6.5</v>
          </cell>
          <cell r="R58">
            <v>1.4292849828491108</v>
          </cell>
          <cell r="T58">
            <v>2.3913746871706345</v>
          </cell>
        </row>
        <row r="59">
          <cell r="D59">
            <v>9.5</v>
          </cell>
          <cell r="R59">
            <v>1.3634061090543086</v>
          </cell>
          <cell r="T59">
            <v>2.3638160620769755</v>
          </cell>
        </row>
        <row r="60">
          <cell r="D60">
            <v>27.5</v>
          </cell>
          <cell r="R60">
            <v>1.4350049592319944</v>
          </cell>
          <cell r="T60">
            <v>2.3254715111034745</v>
          </cell>
        </row>
        <row r="61">
          <cell r="D61">
            <v>51.75</v>
          </cell>
          <cell r="R61">
            <v>1.4599469810307566</v>
          </cell>
          <cell r="T61">
            <v>2.3287771622485809</v>
          </cell>
        </row>
        <row r="62">
          <cell r="D62">
            <v>54.25</v>
          </cell>
          <cell r="R62">
            <v>1.3955179267884041</v>
          </cell>
          <cell r="T62">
            <v>2.313482153245511</v>
          </cell>
        </row>
        <row r="63">
          <cell r="D63">
            <v>56.833333333333336</v>
          </cell>
          <cell r="R63">
            <v>1.4202204278405974</v>
          </cell>
          <cell r="T63">
            <v>2.3265937690143832</v>
          </cell>
        </row>
        <row r="64">
          <cell r="D64">
            <v>75.25</v>
          </cell>
          <cell r="R64">
            <v>1.4683393806394986</v>
          </cell>
          <cell r="T64">
            <v>2.3434773931787318</v>
          </cell>
        </row>
        <row r="65">
          <cell r="D65">
            <v>77.75</v>
          </cell>
          <cell r="R65">
            <v>1.4077319190472126</v>
          </cell>
          <cell r="T65">
            <v>2.2949508463780575</v>
          </cell>
        </row>
        <row r="66">
          <cell r="D66">
            <v>80.333333333333329</v>
          </cell>
          <cell r="R66">
            <v>1.3818424489119379</v>
          </cell>
          <cell r="T66">
            <v>2.2780036811759081</v>
          </cell>
        </row>
        <row r="67">
          <cell r="D67">
            <v>96.25</v>
          </cell>
          <cell r="R67">
            <v>1.4247162254155379</v>
          </cell>
          <cell r="T67"/>
        </row>
        <row r="68">
          <cell r="D68">
            <v>100.16666666666667</v>
          </cell>
          <cell r="R68">
            <v>1.403490402228059</v>
          </cell>
          <cell r="T68">
            <v>2.2674177412572711</v>
          </cell>
        </row>
        <row r="69">
          <cell r="D69">
            <v>103.08333333333334</v>
          </cell>
          <cell r="R69">
            <v>1.4381794738648257</v>
          </cell>
          <cell r="T69">
            <v>2.3185621785331976</v>
          </cell>
        </row>
        <row r="70">
          <cell r="D70">
            <v>106.25000000000001</v>
          </cell>
          <cell r="R70">
            <v>1.4682038285021952</v>
          </cell>
          <cell r="T70">
            <v>2.3136369748044951</v>
          </cell>
        </row>
        <row r="77">
          <cell r="D77"/>
          <cell r="O77"/>
          <cell r="Q77"/>
        </row>
        <row r="78">
          <cell r="D78"/>
          <cell r="O78"/>
          <cell r="Q78"/>
        </row>
        <row r="79">
          <cell r="D79"/>
          <cell r="O79"/>
          <cell r="Q79"/>
        </row>
        <row r="80">
          <cell r="D80"/>
          <cell r="O80"/>
          <cell r="Q80"/>
        </row>
        <row r="81">
          <cell r="D81"/>
          <cell r="O81"/>
          <cell r="Q81"/>
        </row>
      </sheetData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">
          <cell r="D17">
            <v>0.75</v>
          </cell>
          <cell r="M17">
            <v>4.4134951656037855E-2</v>
          </cell>
          <cell r="O17">
            <v>5.6514215520464296E-2</v>
          </cell>
        </row>
        <row r="18">
          <cell r="D18">
            <v>8.5</v>
          </cell>
          <cell r="M18">
            <v>9.6361242542686687E-2</v>
          </cell>
          <cell r="O18">
            <v>0.14563992095565328</v>
          </cell>
        </row>
        <row r="19">
          <cell r="D19">
            <v>23.75</v>
          </cell>
          <cell r="M19">
            <v>0.11767372968524994</v>
          </cell>
          <cell r="O19">
            <v>0.18997561019031173</v>
          </cell>
        </row>
        <row r="20">
          <cell r="D20">
            <v>28.25</v>
          </cell>
          <cell r="M20">
            <v>0.12244229582390455</v>
          </cell>
          <cell r="O20">
            <v>0.19706218511331469</v>
          </cell>
        </row>
        <row r="21">
          <cell r="D21">
            <v>47.416666666666664</v>
          </cell>
          <cell r="M21">
            <v>0.1296058424192553</v>
          </cell>
          <cell r="O21">
            <v>0.21001620053052286</v>
          </cell>
        </row>
        <row r="22">
          <cell r="D22">
            <v>51.25</v>
          </cell>
          <cell r="M22">
            <v>0.16513145443324417</v>
          </cell>
          <cell r="O22">
            <v>0.28507201224831319</v>
          </cell>
        </row>
        <row r="23">
          <cell r="D23">
            <v>55.75</v>
          </cell>
          <cell r="M23">
            <v>0.13688294589590619</v>
          </cell>
          <cell r="O23">
            <v>0.23001726869737052</v>
          </cell>
        </row>
        <row r="24">
          <cell r="D24">
            <v>77.833333333333329</v>
          </cell>
          <cell r="M24">
            <v>0.13426002880065829</v>
          </cell>
          <cell r="O24">
            <v>0.22685941144006694</v>
          </cell>
        </row>
        <row r="25">
          <cell r="D25">
            <v>94.999999999999986</v>
          </cell>
          <cell r="M25">
            <v>0.12616910100802303</v>
          </cell>
          <cell r="O25">
            <v>0.21917110252621458</v>
          </cell>
        </row>
        <row r="26">
          <cell r="D26">
            <v>102.99999999999999</v>
          </cell>
          <cell r="M26">
            <v>0.12891380374408556</v>
          </cell>
          <cell r="O26">
            <v>0.22066333161239787</v>
          </cell>
        </row>
        <row r="27">
          <cell r="D27">
            <v>121.08333333333331</v>
          </cell>
          <cell r="M27">
            <v>0.13126270314750052</v>
          </cell>
          <cell r="O27">
            <v>0.22739349486389773</v>
          </cell>
        </row>
        <row r="28">
          <cell r="D28">
            <v>126.83333333333331</v>
          </cell>
          <cell r="M28">
            <v>0.13159267640403211</v>
          </cell>
          <cell r="O28">
            <v>0.22872051414430933</v>
          </cell>
        </row>
        <row r="29">
          <cell r="D29">
            <v>143.16666666666666</v>
          </cell>
          <cell r="M29">
            <v>0.12772310224233696</v>
          </cell>
          <cell r="O29">
            <v>0.22482455359527159</v>
          </cell>
        </row>
        <row r="30">
          <cell r="D30">
            <v>149.75</v>
          </cell>
          <cell r="M30">
            <v>0.12698086813412879</v>
          </cell>
          <cell r="O30">
            <v>0.22437485535240606</v>
          </cell>
        </row>
        <row r="31">
          <cell r="D31">
            <v>168.08333333333331</v>
          </cell>
          <cell r="O31">
            <v>0.18840540492424918</v>
          </cell>
        </row>
        <row r="49">
          <cell r="D49">
            <v>0.75</v>
          </cell>
          <cell r="O49">
            <v>6.8817005216214769E-2</v>
          </cell>
        </row>
        <row r="50">
          <cell r="D50">
            <v>8.5</v>
          </cell>
          <cell r="M50">
            <v>9.847685661386546E-2</v>
          </cell>
          <cell r="O50">
            <v>0.14674262519805595</v>
          </cell>
        </row>
        <row r="51">
          <cell r="D51">
            <v>23.75</v>
          </cell>
          <cell r="M51">
            <v>0.12806994445587327</v>
          </cell>
          <cell r="O51">
            <v>0.20677858681526054</v>
          </cell>
        </row>
        <row r="52">
          <cell r="D52">
            <v>28.25</v>
          </cell>
          <cell r="M52">
            <v>0.14077309195638757</v>
          </cell>
          <cell r="O52">
            <v>0.21610297128411457</v>
          </cell>
        </row>
        <row r="53">
          <cell r="D53">
            <v>47.416666666666664</v>
          </cell>
          <cell r="M53">
            <v>0.14352931495577043</v>
          </cell>
          <cell r="O53">
            <v>0.23358031724555375</v>
          </cell>
        </row>
        <row r="54">
          <cell r="D54">
            <v>51.25</v>
          </cell>
          <cell r="M54">
            <v>0.13886813412878007</v>
          </cell>
          <cell r="O54">
            <v>0.22737391180502395</v>
          </cell>
        </row>
        <row r="55">
          <cell r="D55">
            <v>55.75</v>
          </cell>
          <cell r="M55">
            <v>0</v>
          </cell>
          <cell r="O55">
            <v>0</v>
          </cell>
        </row>
        <row r="56">
          <cell r="D56">
            <v>77.833333333333329</v>
          </cell>
          <cell r="M56">
            <v>0.21372721662209421</v>
          </cell>
          <cell r="O56">
            <v>0.38433711345712201</v>
          </cell>
        </row>
        <row r="57">
          <cell r="D57">
            <v>94.999999999999986</v>
          </cell>
          <cell r="M57">
            <v>0.1431446204484674</v>
          </cell>
          <cell r="O57">
            <v>0.24855886489469656</v>
          </cell>
        </row>
        <row r="58">
          <cell r="D58">
            <v>102.99999999999999</v>
          </cell>
          <cell r="M58">
            <v>0.13416046081053282</v>
          </cell>
          <cell r="O58">
            <v>0.23647682968079614</v>
          </cell>
        </row>
        <row r="59">
          <cell r="D59">
            <v>121.08333333333331</v>
          </cell>
          <cell r="M59">
            <v>0.13144826167455256</v>
          </cell>
          <cell r="O59">
            <v>0.23106157981876771</v>
          </cell>
        </row>
        <row r="60">
          <cell r="D60">
            <v>126.83333333333331</v>
          </cell>
          <cell r="M60">
            <v>0.12631475005142975</v>
          </cell>
          <cell r="O60">
            <v>0.21991668298588241</v>
          </cell>
        </row>
        <row r="61">
          <cell r="D61">
            <v>143.16666666666666</v>
          </cell>
          <cell r="M61">
            <v>0.12130343550709731</v>
          </cell>
          <cell r="O61">
            <v>0.21139093126346337</v>
          </cell>
        </row>
        <row r="62">
          <cell r="D62">
            <v>149.75</v>
          </cell>
          <cell r="M62">
            <v>0.12634313927175478</v>
          </cell>
          <cell r="O62">
            <v>0.21957914226202133</v>
          </cell>
        </row>
        <row r="63">
          <cell r="D63">
            <v>168.08333333333331</v>
          </cell>
          <cell r="O63">
            <v>0.17490947285966069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conditions"/>
      <sheetName val="SOLUTION COMP"/>
    </sheetNames>
    <sheetDataSet>
      <sheetData sheetId="0"/>
      <sheetData sheetId="1">
        <row r="15">
          <cell r="D15">
            <v>1</v>
          </cell>
          <cell r="R15">
            <v>0.81348032447760066</v>
          </cell>
          <cell r="T15">
            <v>2.5238817785436409</v>
          </cell>
        </row>
        <row r="16">
          <cell r="D16">
            <v>8</v>
          </cell>
          <cell r="R16">
            <v>0.7853926572961033</v>
          </cell>
          <cell r="T16">
            <v>2.3789145284357698</v>
          </cell>
        </row>
        <row r="17">
          <cell r="D17">
            <v>23</v>
          </cell>
          <cell r="R17">
            <v>0.76680734063494027</v>
          </cell>
          <cell r="T17">
            <v>2.2837305058683364</v>
          </cell>
        </row>
        <row r="18">
          <cell r="D18">
            <v>28</v>
          </cell>
          <cell r="R18">
            <v>0.7791188525897409</v>
          </cell>
          <cell r="T18">
            <v>2.2826092842550869</v>
          </cell>
        </row>
        <row r="19">
          <cell r="D19">
            <v>33</v>
          </cell>
          <cell r="R19">
            <v>0.76784486261429785</v>
          </cell>
          <cell r="T19">
            <v>2.2681503233783524</v>
          </cell>
        </row>
        <row r="20">
          <cell r="D20">
            <v>47.583333333333336</v>
          </cell>
          <cell r="R20">
            <v>0.78854672448857388</v>
          </cell>
          <cell r="T20">
            <v>2.2454927628962249</v>
          </cell>
        </row>
        <row r="21">
          <cell r="D21">
            <v>53.833333333333336</v>
          </cell>
          <cell r="R21">
            <v>0.81100821019012448</v>
          </cell>
          <cell r="T21">
            <v>2.2550518059254334</v>
          </cell>
        </row>
        <row r="22">
          <cell r="D22">
            <v>74.083333333333343</v>
          </cell>
          <cell r="R22">
            <v>0.84676823699010095</v>
          </cell>
          <cell r="T22">
            <v>2.3240339428208606E-2</v>
          </cell>
        </row>
        <row r="23">
          <cell r="D23">
            <v>98.333333333333343</v>
          </cell>
          <cell r="R23">
            <v>0.86269136440971905</v>
          </cell>
          <cell r="T23">
            <v>2.2399759627855498</v>
          </cell>
        </row>
        <row r="24">
          <cell r="D24">
            <v>146.08333333333334</v>
          </cell>
          <cell r="R24">
            <v>0.89754145966667553</v>
          </cell>
          <cell r="T24">
            <v>2.295307437765099</v>
          </cell>
        </row>
        <row r="25">
          <cell r="D25">
            <v>167.16666666666666</v>
          </cell>
          <cell r="R25">
            <v>0.72203046961277917</v>
          </cell>
          <cell r="T25">
            <v>2.3004082723035952</v>
          </cell>
        </row>
        <row r="26">
          <cell r="D26">
            <v>171.83333333333331</v>
          </cell>
          <cell r="R26">
            <v>0.91175404126011161</v>
          </cell>
          <cell r="T26">
            <v>2.3041868593812906</v>
          </cell>
        </row>
        <row r="27">
          <cell r="D27">
            <v>176.83333333333331</v>
          </cell>
          <cell r="R27">
            <v>0.9065106928691794</v>
          </cell>
          <cell r="T27">
            <v>2.3311303066499565</v>
          </cell>
        </row>
        <row r="28">
          <cell r="D28">
            <v>191</v>
          </cell>
          <cell r="R28">
            <v>0.90339552177999383</v>
          </cell>
          <cell r="T28">
            <v>2.3000938483787623</v>
          </cell>
        </row>
        <row r="29">
          <cell r="D29">
            <v>195.83333333333334</v>
          </cell>
          <cell r="R29">
            <v>0.91619425380102593</v>
          </cell>
          <cell r="T29">
            <v>2.3156599341691826</v>
          </cell>
        </row>
        <row r="35">
          <cell r="D35">
            <v>0</v>
          </cell>
          <cell r="O35">
            <v>0.74489778590758549</v>
          </cell>
          <cell r="Q35">
            <v>2.5447003230665128</v>
          </cell>
        </row>
        <row r="36">
          <cell r="D36">
            <v>23.666666666666668</v>
          </cell>
          <cell r="O36">
            <v>1.1156568804064952</v>
          </cell>
          <cell r="Q36">
            <v>2.500214043612845</v>
          </cell>
        </row>
        <row r="37">
          <cell r="D37">
            <v>49.666666666666671</v>
          </cell>
          <cell r="O37">
            <v>3.6546310243412282E-2</v>
          </cell>
          <cell r="Q37">
            <v>2.5200612409260779</v>
          </cell>
        </row>
        <row r="38">
          <cell r="D38">
            <v>79.333333333333343</v>
          </cell>
          <cell r="O38">
            <v>1.2782791237375499</v>
          </cell>
          <cell r="Q38">
            <v>2.5922838325955007</v>
          </cell>
        </row>
        <row r="39">
          <cell r="D39">
            <v>102.83333333333334</v>
          </cell>
          <cell r="O39">
            <v>1.1654195371510607</v>
          </cell>
          <cell r="Q39">
            <v>2.6021573421230704</v>
          </cell>
        </row>
        <row r="40">
          <cell r="D40">
            <v>151.33333333333334</v>
          </cell>
          <cell r="O40">
            <v>1.1530893937957947</v>
          </cell>
          <cell r="Q40">
            <v>2.7096391478029296</v>
          </cell>
        </row>
        <row r="41">
          <cell r="D41">
            <v>198.83333333333334</v>
          </cell>
          <cell r="O41">
            <v>1.2113270993455956</v>
          </cell>
          <cell r="Q41">
            <v>2.7213032787965878</v>
          </cell>
        </row>
        <row r="58">
          <cell r="D58">
            <v>1</v>
          </cell>
          <cell r="R58">
            <v>0.93545378487647601</v>
          </cell>
          <cell r="T58">
            <v>2.5095571803384966</v>
          </cell>
        </row>
        <row r="59">
          <cell r="D59">
            <v>8</v>
          </cell>
          <cell r="R59">
            <v>0.91783394371644356</v>
          </cell>
          <cell r="T59">
            <v>2.367645146277455</v>
          </cell>
        </row>
        <row r="60">
          <cell r="D60">
            <v>23</v>
          </cell>
          <cell r="R60">
            <v>0.88151873541904391</v>
          </cell>
          <cell r="T60">
            <v>2.2959675951190768</v>
          </cell>
        </row>
        <row r="61">
          <cell r="D61">
            <v>28</v>
          </cell>
          <cell r="R61">
            <v>0.86167259733157642</v>
          </cell>
          <cell r="T61">
            <v>2.2900520449540851</v>
          </cell>
        </row>
        <row r="62">
          <cell r="D62">
            <v>33</v>
          </cell>
          <cell r="R62">
            <v>0.87856358259968814</v>
          </cell>
          <cell r="T62">
            <v>2.2698833694053966</v>
          </cell>
        </row>
        <row r="63">
          <cell r="D63">
            <v>47.583333333333336</v>
          </cell>
          <cell r="R63">
            <v>0.84648937059933904</v>
          </cell>
          <cell r="T63">
            <v>2.226251339148237</v>
          </cell>
        </row>
        <row r="64">
          <cell r="D64">
            <v>53.833333333333336</v>
          </cell>
          <cell r="R64">
            <v>0.87698219992577431</v>
          </cell>
          <cell r="T64">
            <v>2.2378434667754821</v>
          </cell>
        </row>
        <row r="65">
          <cell r="D65">
            <v>74.083333333333343</v>
          </cell>
          <cell r="R65">
            <v>0.88128764033428708</v>
          </cell>
          <cell r="T65">
            <v>2.2862021361868385</v>
          </cell>
        </row>
        <row r="66">
          <cell r="D66">
            <v>98.333333333333343</v>
          </cell>
          <cell r="R66">
            <v>0.87882055555204464</v>
          </cell>
          <cell r="T66">
            <v>2.239431591211718</v>
          </cell>
        </row>
        <row r="67">
          <cell r="D67">
            <v>146.08333333333334</v>
          </cell>
          <cell r="R67">
            <v>0.90476596805361764</v>
          </cell>
          <cell r="T67">
            <v>2.2989528216763615</v>
          </cell>
        </row>
        <row r="68">
          <cell r="D68">
            <v>167.16666666666666</v>
          </cell>
          <cell r="R68">
            <v>0.88729328096673443</v>
          </cell>
          <cell r="T68">
            <v>2.293190767718098</v>
          </cell>
        </row>
        <row r="69">
          <cell r="D69">
            <v>171.83333333333331</v>
          </cell>
          <cell r="R69">
            <v>0.91930008652240425</v>
          </cell>
          <cell r="T69">
            <v>2.2878339386868118</v>
          </cell>
        </row>
        <row r="70">
          <cell r="D70">
            <v>176.83333333333331</v>
          </cell>
          <cell r="R70">
            <v>0.91725556165679467</v>
          </cell>
          <cell r="T70">
            <v>2.348399317184271</v>
          </cell>
        </row>
        <row r="71">
          <cell r="D71">
            <v>191</v>
          </cell>
          <cell r="R71">
            <v>0.91681760475911456</v>
          </cell>
          <cell r="T71">
            <v>2.315644714151623</v>
          </cell>
        </row>
        <row r="72">
          <cell r="D72">
            <v>195.83333333333334</v>
          </cell>
          <cell r="R72">
            <v>0.91404826283315999</v>
          </cell>
          <cell r="T72">
            <v>2.2887248374716065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5">
          <cell r="D15">
            <v>0.75</v>
          </cell>
          <cell r="S15">
            <v>1.0443972108812147</v>
          </cell>
          <cell r="U15">
            <v>1.8285310505151493</v>
          </cell>
        </row>
        <row r="16">
          <cell r="D16">
            <v>18.5</v>
          </cell>
          <cell r="S16">
            <v>1.0507171761013328</v>
          </cell>
          <cell r="U16">
            <v>1.9265601142920552</v>
          </cell>
        </row>
        <row r="17">
          <cell r="D17">
            <v>24.25</v>
          </cell>
          <cell r="S17">
            <v>1.0720610433551325</v>
          </cell>
          <cell r="U17">
            <v>1.9659642753556319</v>
          </cell>
        </row>
        <row r="18">
          <cell r="D18">
            <v>43.416666666666664</v>
          </cell>
          <cell r="S18">
            <v>1.0779449520908888</v>
          </cell>
          <cell r="U18">
            <v>2.0217820830504141</v>
          </cell>
        </row>
        <row r="19">
          <cell r="D19">
            <v>49.666666666666664</v>
          </cell>
          <cell r="S19">
            <v>1.0606152920410274</v>
          </cell>
          <cell r="U19">
            <v>2.0544389706305215</v>
          </cell>
        </row>
        <row r="20">
          <cell r="D20">
            <v>67.916666666666657</v>
          </cell>
          <cell r="S20">
            <v>1.0477425257930915</v>
          </cell>
          <cell r="U20">
            <v>2.1731369027343388</v>
          </cell>
        </row>
        <row r="21">
          <cell r="D21">
            <v>74.499999999999986</v>
          </cell>
          <cell r="S21"/>
          <cell r="U21">
            <v>2.1472233478285876</v>
          </cell>
        </row>
        <row r="22">
          <cell r="D22">
            <v>88.999999999999986</v>
          </cell>
          <cell r="S22">
            <v>1.0189607656763973</v>
          </cell>
          <cell r="U22">
            <v>2.1914325898801601</v>
          </cell>
        </row>
        <row r="23">
          <cell r="D23">
            <v>95.916666666666657</v>
          </cell>
          <cell r="S23">
            <v>1.021448235631619</v>
          </cell>
          <cell r="U23">
            <v>2.2191118375941712</v>
          </cell>
        </row>
        <row r="24">
          <cell r="D24">
            <v>113.24999999999999</v>
          </cell>
          <cell r="S24">
            <v>1.0024526863912178</v>
          </cell>
          <cell r="U24">
            <v>2.2396461805079384</v>
          </cell>
        </row>
        <row r="25">
          <cell r="D25">
            <v>121.74999999999999</v>
          </cell>
          <cell r="S25"/>
          <cell r="U25">
            <v>2.3150713553714506</v>
          </cell>
        </row>
        <row r="26">
          <cell r="D26">
            <v>137.08333333333334</v>
          </cell>
          <cell r="S26">
            <v>0.98845841205853624</v>
          </cell>
          <cell r="U26">
            <v>2.2454910878871601</v>
          </cell>
        </row>
        <row r="31">
          <cell r="D31">
            <v>0</v>
          </cell>
          <cell r="O31">
            <v>1.2081597111329854</v>
          </cell>
          <cell r="Q31">
            <v>2.2163942778282375</v>
          </cell>
        </row>
        <row r="32">
          <cell r="D32">
            <v>124.5</v>
          </cell>
          <cell r="O32">
            <v>1.2730140258249478</v>
          </cell>
          <cell r="Q32">
            <v>2.6521494244233494</v>
          </cell>
        </row>
        <row r="33">
          <cell r="D33">
            <v>144</v>
          </cell>
          <cell r="O33">
            <v>1.3724251297905239</v>
          </cell>
          <cell r="Q33">
            <v>2.5189372227758136</v>
          </cell>
        </row>
        <row r="50">
          <cell r="D50">
            <v>0.75</v>
          </cell>
          <cell r="S50">
            <v>1.0638033828342366</v>
          </cell>
          <cell r="U50">
            <v>1.8593173671308012</v>
          </cell>
        </row>
        <row r="51">
          <cell r="D51">
            <v>18.5</v>
          </cell>
          <cell r="S51">
            <v>1.0458324830840011</v>
          </cell>
          <cell r="U51">
            <v>1.9103843541944072</v>
          </cell>
        </row>
        <row r="52">
          <cell r="D52">
            <v>24.25</v>
          </cell>
          <cell r="S52">
            <v>1.0790757653928154</v>
          </cell>
          <cell r="U52">
            <v>1.9715172375023147</v>
          </cell>
        </row>
        <row r="53">
          <cell r="D53">
            <v>43.416666666666664</v>
          </cell>
          <cell r="S53">
            <v>1.0345496778725425</v>
          </cell>
          <cell r="U53">
            <v>2.0355034287616514</v>
          </cell>
        </row>
        <row r="54">
          <cell r="D54">
            <v>49.666666666666664</v>
          </cell>
          <cell r="S54"/>
          <cell r="U54"/>
        </row>
        <row r="55">
          <cell r="D55">
            <v>67.916666666666657</v>
          </cell>
          <cell r="S55">
            <v>1.0020103285197501</v>
          </cell>
          <cell r="U55">
            <v>2.1608189738243748</v>
          </cell>
        </row>
        <row r="56">
          <cell r="D56">
            <v>74.499999999999986</v>
          </cell>
          <cell r="S56">
            <v>0.9898287956363484</v>
          </cell>
          <cell r="U56">
            <v>2.1519172687782406</v>
          </cell>
        </row>
        <row r="57">
          <cell r="D57">
            <v>88.999999999999986</v>
          </cell>
          <cell r="S57">
            <v>0.97247465276440626</v>
          </cell>
          <cell r="U57">
            <v>2.1888994961314041</v>
          </cell>
        </row>
        <row r="58">
          <cell r="D58">
            <v>95.916666666666657</v>
          </cell>
          <cell r="S58">
            <v>1.0198734846541304</v>
          </cell>
          <cell r="U58">
            <v>2.2138095122617965</v>
          </cell>
        </row>
        <row r="59">
          <cell r="D59">
            <v>113.24999999999999</v>
          </cell>
          <cell r="S59">
            <v>0.97976873687198018</v>
          </cell>
          <cell r="U59">
            <v>2.2322449605146937</v>
          </cell>
        </row>
        <row r="60">
          <cell r="D60">
            <v>121.74999999999999</v>
          </cell>
          <cell r="S60"/>
          <cell r="U60">
            <v>2.2529327287678242</v>
          </cell>
        </row>
        <row r="61">
          <cell r="D61">
            <v>137.08333333333334</v>
          </cell>
          <cell r="S61"/>
          <cell r="U61">
            <v>2.2971290181324231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ial conditions"/>
      <sheetName val="SOLUTION COMP"/>
    </sheetNames>
    <sheetDataSet>
      <sheetData sheetId="0" refreshError="1"/>
      <sheetData sheetId="1">
        <row r="15">
          <cell r="D15">
            <v>0.66666666666666663</v>
          </cell>
          <cell r="R15">
            <v>1.631582085771887</v>
          </cell>
          <cell r="T15">
            <v>2.6364315912117178</v>
          </cell>
        </row>
        <row r="16">
          <cell r="D16">
            <v>7.666666666666667</v>
          </cell>
          <cell r="R16">
            <v>1.5252600257818758</v>
          </cell>
          <cell r="T16">
            <v>2.4778863810001965</v>
          </cell>
        </row>
        <row r="17">
          <cell r="D17">
            <v>23.416666666666668</v>
          </cell>
          <cell r="R17">
            <v>1.5295361867782797</v>
          </cell>
          <cell r="T17">
            <v>2.3932615553989018</v>
          </cell>
        </row>
        <row r="18">
          <cell r="D18">
            <v>28.416666666666668</v>
          </cell>
          <cell r="R18">
            <v>1.5186307214315153</v>
          </cell>
          <cell r="T18">
            <v>2.4040521970705728</v>
          </cell>
        </row>
        <row r="19">
          <cell r="D19">
            <v>53.416666666666671</v>
          </cell>
          <cell r="R19">
            <v>1.4893057093947073</v>
          </cell>
          <cell r="T19">
            <v>2.352841603028192</v>
          </cell>
        </row>
        <row r="20">
          <cell r="D20">
            <v>71.833333333333343</v>
          </cell>
          <cell r="R20">
            <v>1.4997715022347715</v>
          </cell>
          <cell r="T20">
            <v>2.3879731654090848</v>
          </cell>
        </row>
        <row r="21">
          <cell r="D21">
            <v>95.666666666666671</v>
          </cell>
          <cell r="R21">
            <v>1.5098829240051659</v>
          </cell>
          <cell r="T21">
            <v>2.4123375305092876</v>
          </cell>
        </row>
        <row r="22">
          <cell r="D22">
            <v>147.83333333333334</v>
          </cell>
          <cell r="R22">
            <v>1.5357903230401417</v>
          </cell>
          <cell r="T22">
            <v>2.3777318745523019</v>
          </cell>
        </row>
        <row r="23">
          <cell r="D23">
            <v>168.00000000000003</v>
          </cell>
          <cell r="R23">
            <v>1.5407552461064027</v>
          </cell>
          <cell r="T23">
            <v>2.3833178671651698</v>
          </cell>
        </row>
        <row r="24">
          <cell r="D24">
            <v>176.16666666666669</v>
          </cell>
          <cell r="R24">
            <v>1.5659342462694297</v>
          </cell>
          <cell r="T24">
            <v>2.4236165658902884</v>
          </cell>
        </row>
        <row r="25">
          <cell r="D25">
            <v>191.25000000000003</v>
          </cell>
          <cell r="R25">
            <v>1.5499032996421847</v>
          </cell>
          <cell r="T25">
            <v>2.4453959572055743</v>
          </cell>
        </row>
        <row r="31">
          <cell r="D31">
            <v>0</v>
          </cell>
          <cell r="O31">
            <v>1.675033360012075</v>
          </cell>
          <cell r="Q31">
            <v>2.6412825565912117</v>
          </cell>
        </row>
        <row r="32">
          <cell r="D32">
            <v>71.916666666666671</v>
          </cell>
          <cell r="O32">
            <v>1.683793437120497</v>
          </cell>
          <cell r="Q32">
            <v>2.6640807218282605</v>
          </cell>
        </row>
        <row r="33">
          <cell r="D33">
            <v>97.916666666666671</v>
          </cell>
          <cell r="O33">
            <v>1.7438265780826612</v>
          </cell>
          <cell r="Q33">
            <v>2.6599725284320366</v>
          </cell>
        </row>
        <row r="34">
          <cell r="D34">
            <v>191.66666666666669</v>
          </cell>
          <cell r="O34">
            <v>1.7580818472784026</v>
          </cell>
          <cell r="Q34">
            <v>2.7171016657486002</v>
          </cell>
        </row>
        <row r="35">
          <cell r="D35">
            <v>216.66666666666669</v>
          </cell>
          <cell r="O35">
            <v>1.7810025495789554</v>
          </cell>
          <cell r="Q35">
            <v>2.7403290591177574</v>
          </cell>
        </row>
        <row r="52">
          <cell r="D52">
            <v>0.66666666666666663</v>
          </cell>
          <cell r="R52">
            <v>1.5822571062764685</v>
          </cell>
          <cell r="T52">
            <v>2.5485583046462019</v>
          </cell>
        </row>
        <row r="53">
          <cell r="D53">
            <v>7.666666666666667</v>
          </cell>
          <cell r="R53">
            <v>1.5385274186201316</v>
          </cell>
          <cell r="T53">
            <v>2.467036537682199</v>
          </cell>
        </row>
        <row r="54">
          <cell r="D54">
            <v>23.416666666666668</v>
          </cell>
          <cell r="R54">
            <v>1.5036658028942806</v>
          </cell>
          <cell r="T54">
            <v>2.3571554152961611</v>
          </cell>
        </row>
        <row r="55">
          <cell r="D55">
            <v>28.416666666666668</v>
          </cell>
          <cell r="R55">
            <v>1.5015800004760618</v>
          </cell>
          <cell r="T55">
            <v>2.4035007586783514</v>
          </cell>
        </row>
        <row r="56">
          <cell r="D56">
            <v>53.416666666666671</v>
          </cell>
          <cell r="R56">
            <v>1.4948511677545948</v>
          </cell>
          <cell r="T56">
            <v>2.3752204014955778</v>
          </cell>
        </row>
        <row r="57">
          <cell r="D57">
            <v>71.833333333333343</v>
          </cell>
          <cell r="R57">
            <v>1.4725760501407688</v>
          </cell>
          <cell r="T57">
            <v>2.3934749728672275</v>
          </cell>
        </row>
        <row r="58">
          <cell r="D58">
            <v>95.666666666666671</v>
          </cell>
          <cell r="R58">
            <v>1.496744923185211</v>
          </cell>
          <cell r="T58">
            <v>2.3204251817249131</v>
          </cell>
        </row>
        <row r="59">
          <cell r="D59">
            <v>147.83333333333334</v>
          </cell>
          <cell r="R59">
            <v>1.5400918221004785</v>
          </cell>
          <cell r="T59">
            <v>2.3988427832657231</v>
          </cell>
        </row>
        <row r="60">
          <cell r="D60">
            <v>168.00000000000003</v>
          </cell>
          <cell r="R60">
            <v>1.5225206069259072</v>
          </cell>
          <cell r="T60">
            <v>2.3725074763703042</v>
          </cell>
        </row>
        <row r="61">
          <cell r="D61">
            <v>176.16666666666669</v>
          </cell>
          <cell r="R61">
            <v>1.5356916456991523</v>
          </cell>
          <cell r="T61">
            <v>2.3889912244200717</v>
          </cell>
        </row>
        <row r="62">
          <cell r="D62">
            <v>191.25000000000003</v>
          </cell>
          <cell r="R62">
            <v>1.5368305748584736</v>
          </cell>
          <cell r="T62">
            <v>2.4237683089214377</v>
          </cell>
        </row>
        <row r="63">
          <cell r="D63">
            <v>200.16666666666669</v>
          </cell>
          <cell r="R63">
            <v>1.5306968006004222</v>
          </cell>
          <cell r="T63">
            <v>2.3837623786386364</v>
          </cell>
        </row>
        <row r="64">
          <cell r="D64">
            <v>213.75000000000003</v>
          </cell>
          <cell r="R64">
            <v>1.5312139186676985</v>
          </cell>
          <cell r="T64">
            <v>2.4208771968501166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0</v>
          </cell>
          <cell r="M13">
            <v>0</v>
          </cell>
          <cell r="O13">
            <v>-2.5349533954727031E-3</v>
          </cell>
        </row>
        <row r="14">
          <cell r="D14">
            <v>0.16666666666666666</v>
          </cell>
          <cell r="M14">
            <v>1.752705204690393E-2</v>
          </cell>
          <cell r="O14">
            <v>1.737683089214381E-2</v>
          </cell>
        </row>
        <row r="15">
          <cell r="D15">
            <v>1.8333333333333333</v>
          </cell>
          <cell r="M15">
            <v>3.1816375231433859E-2</v>
          </cell>
          <cell r="O15">
            <v>4.609687083888149E-2</v>
          </cell>
        </row>
        <row r="16">
          <cell r="D16">
            <v>3.833333333333333</v>
          </cell>
          <cell r="M16">
            <v>3.7929890968936432E-2</v>
          </cell>
          <cell r="O16">
            <v>6.2674766977363516E-2</v>
          </cell>
        </row>
        <row r="17">
          <cell r="D17">
            <v>6.833333333333333</v>
          </cell>
          <cell r="M17">
            <v>3.2868710141946103E-2</v>
          </cell>
          <cell r="O17">
            <v>5.7663115845539278E-2</v>
          </cell>
        </row>
        <row r="18">
          <cell r="D18">
            <v>9.8333333333333321</v>
          </cell>
          <cell r="M18">
            <v>3.2560501954330384E-2</v>
          </cell>
          <cell r="O18">
            <v>5.6188415446071907E-2</v>
          </cell>
        </row>
        <row r="19">
          <cell r="D19">
            <v>24</v>
          </cell>
          <cell r="M19">
            <v>3.1013824315984366E-2</v>
          </cell>
          <cell r="O19">
            <v>5.4444074567243678E-2</v>
          </cell>
        </row>
        <row r="20">
          <cell r="D20">
            <v>25.833333333333332</v>
          </cell>
          <cell r="M20">
            <v>2.8788850030857849E-2</v>
          </cell>
          <cell r="O20">
            <v>5.1050266311584554E-2</v>
          </cell>
        </row>
        <row r="21">
          <cell r="D21">
            <v>27.833333333333332</v>
          </cell>
          <cell r="M21">
            <v>2.7439909483645344E-2</v>
          </cell>
          <cell r="O21">
            <v>5.0324567243675102E-2</v>
          </cell>
        </row>
        <row r="22">
          <cell r="D22">
            <v>29.833333333333332</v>
          </cell>
          <cell r="M22">
            <v>2.6866323801686895E-2</v>
          </cell>
          <cell r="O22">
            <v>4.9745339547270312E-2</v>
          </cell>
        </row>
        <row r="23">
          <cell r="D23">
            <v>31.833333333333332</v>
          </cell>
          <cell r="M23">
            <v>2.7150339436329971E-2</v>
          </cell>
          <cell r="O23">
            <v>4.9390812250332893E-2</v>
          </cell>
        </row>
        <row r="24">
          <cell r="D24">
            <v>33.833333333333329</v>
          </cell>
          <cell r="M24">
            <v>2.7404608105328122E-2</v>
          </cell>
          <cell r="O24">
            <v>4.8335552596537948E-2</v>
          </cell>
        </row>
        <row r="25">
          <cell r="D25">
            <v>47.833333333333336</v>
          </cell>
          <cell r="M25">
            <v>2.5712322567372967E-2</v>
          </cell>
          <cell r="O25">
            <v>4.6760985352862855E-2</v>
          </cell>
        </row>
        <row r="26">
          <cell r="D26">
            <v>50.333333333333336</v>
          </cell>
          <cell r="M26">
            <v>2.351581979016663E-2</v>
          </cell>
          <cell r="O26">
            <v>4.5138149134487354E-2</v>
          </cell>
        </row>
        <row r="27">
          <cell r="D27">
            <v>52.833333333333336</v>
          </cell>
          <cell r="M27">
            <v>2.4297675375437155E-2</v>
          </cell>
          <cell r="O27">
            <v>4.6176764314247672E-2</v>
          </cell>
        </row>
        <row r="46">
          <cell r="D46">
            <v>0</v>
          </cell>
          <cell r="O46">
            <v>-2.5349533954727031E-3</v>
          </cell>
        </row>
        <row r="47">
          <cell r="D47">
            <v>0.16666666666666666</v>
          </cell>
          <cell r="M47">
            <v>1.7793993005554412E-2</v>
          </cell>
          <cell r="O47">
            <v>1.4710386151797605E-2</v>
          </cell>
        </row>
        <row r="48">
          <cell r="D48">
            <v>1.8333333333333333</v>
          </cell>
          <cell r="M48">
            <v>3.7207529314955773E-2</v>
          </cell>
          <cell r="O48">
            <v>5.3272303595206398E-2</v>
          </cell>
        </row>
        <row r="49">
          <cell r="D49">
            <v>3.833333333333333</v>
          </cell>
          <cell r="M49">
            <v>3.5407447027360622E-2</v>
          </cell>
          <cell r="O49">
            <v>5.738681757656458E-2</v>
          </cell>
        </row>
        <row r="50">
          <cell r="D50">
            <v>6.833333333333333</v>
          </cell>
          <cell r="M50">
            <v>3.607278337790578E-2</v>
          </cell>
          <cell r="O50">
            <v>6.1835885486018642E-2</v>
          </cell>
        </row>
        <row r="51">
          <cell r="D51">
            <v>9.8333333333333321</v>
          </cell>
          <cell r="M51">
            <v>3.6303353219502163E-2</v>
          </cell>
          <cell r="O51">
            <v>5.9562250332889484E-2</v>
          </cell>
        </row>
        <row r="52">
          <cell r="D52">
            <v>24</v>
          </cell>
          <cell r="M52">
            <v>2.8672166220942191E-2</v>
          </cell>
          <cell r="O52">
            <v>5.2270306258322241E-2</v>
          </cell>
        </row>
        <row r="53">
          <cell r="D53">
            <v>25.833333333333332</v>
          </cell>
          <cell r="M53">
            <v>2.9924459987656863E-2</v>
          </cell>
          <cell r="O53">
            <v>5.4300932090545942E-2</v>
          </cell>
        </row>
        <row r="54">
          <cell r="D54">
            <v>27.833333333333332</v>
          </cell>
          <cell r="M54">
            <v>3.1185887677432626E-2</v>
          </cell>
          <cell r="O54">
            <v>5.3621837549933424E-2</v>
          </cell>
        </row>
        <row r="55">
          <cell r="D55">
            <v>29.833333333333332</v>
          </cell>
          <cell r="M55">
            <v>2.9300802304052666E-2</v>
          </cell>
          <cell r="O55">
            <v>5.2937749667110519E-2</v>
          </cell>
        </row>
        <row r="56">
          <cell r="D56">
            <v>31.833333333333332</v>
          </cell>
          <cell r="M56">
            <v>2.8418144414729479E-2</v>
          </cell>
          <cell r="O56">
            <v>5.1855858854860187E-2</v>
          </cell>
        </row>
        <row r="57">
          <cell r="D57">
            <v>33.833333333333329</v>
          </cell>
          <cell r="M57">
            <v>2.7990578070355893E-2</v>
          </cell>
          <cell r="O57">
            <v>5.085386151797603E-2</v>
          </cell>
        </row>
        <row r="58">
          <cell r="D58">
            <v>47.833333333333336</v>
          </cell>
          <cell r="M58">
            <v>2.8381485291092367E-2</v>
          </cell>
          <cell r="O58">
            <v>5.0902130492676431E-2</v>
          </cell>
        </row>
        <row r="59">
          <cell r="D59">
            <v>50.333333333333336</v>
          </cell>
          <cell r="M59">
            <v>2.7614523760543096E-2</v>
          </cell>
          <cell r="O59">
            <v>5.0928761651131825E-2</v>
          </cell>
        </row>
        <row r="60">
          <cell r="D60">
            <v>52.833333333333336</v>
          </cell>
          <cell r="M60">
            <v>2.7442254680106973E-2</v>
          </cell>
          <cell r="O60">
            <v>5.1060252996005327E-2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0</v>
          </cell>
          <cell r="M13">
            <v>3.1763011725982307E-5</v>
          </cell>
          <cell r="O13">
            <v>-1.9274300932090546E-3</v>
          </cell>
        </row>
        <row r="14">
          <cell r="D14">
            <v>2</v>
          </cell>
          <cell r="M14">
            <v>3.8156058424192549E-2</v>
          </cell>
          <cell r="O14">
            <v>5.5782290279627167E-2</v>
          </cell>
        </row>
        <row r="15">
          <cell r="D15">
            <v>5</v>
          </cell>
          <cell r="M15">
            <v>5.3641226085167658E-2</v>
          </cell>
          <cell r="O15">
            <v>8.524134487350199E-2</v>
          </cell>
        </row>
        <row r="16">
          <cell r="D16">
            <v>8.0833333333333339</v>
          </cell>
          <cell r="M16">
            <v>5.8848385105945276E-2</v>
          </cell>
          <cell r="O16">
            <v>9.8700066577896137E-2</v>
          </cell>
        </row>
        <row r="17">
          <cell r="D17">
            <v>23.666666666666668</v>
          </cell>
          <cell r="M17">
            <v>5.4791606665295207E-2</v>
          </cell>
          <cell r="O17">
            <v>9.6141810918774967E-2</v>
          </cell>
        </row>
        <row r="18">
          <cell r="D18">
            <v>27.666666666666668</v>
          </cell>
          <cell r="M18">
            <v>5.3040526640608932E-2</v>
          </cell>
          <cell r="O18">
            <v>9.4097869507323573E-2</v>
          </cell>
        </row>
        <row r="19">
          <cell r="D19">
            <v>31.666666666666668</v>
          </cell>
          <cell r="M19">
            <v>5.1507508743056984E-2</v>
          </cell>
          <cell r="O19">
            <v>9.2182090545938747E-2</v>
          </cell>
        </row>
        <row r="20">
          <cell r="D20">
            <v>47.666666666666671</v>
          </cell>
          <cell r="M20">
            <v>4.7349927998354253E-2</v>
          </cell>
          <cell r="O20">
            <v>8.7774633821571246E-2</v>
          </cell>
        </row>
        <row r="21">
          <cell r="D21">
            <v>50.166666666666671</v>
          </cell>
          <cell r="M21">
            <v>4.7281629294383877E-2</v>
          </cell>
          <cell r="O21">
            <v>8.6582889480692413E-2</v>
          </cell>
        </row>
        <row r="22">
          <cell r="D22">
            <v>52.666666666666671</v>
          </cell>
          <cell r="M22">
            <v>4.6876362888294588E-2</v>
          </cell>
          <cell r="O22">
            <v>8.5950399467376828E-2</v>
          </cell>
        </row>
        <row r="23">
          <cell r="D23">
            <v>55.166666666666671</v>
          </cell>
          <cell r="M23">
            <v>4.6689981485291097E-2</v>
          </cell>
          <cell r="O23">
            <v>8.6401464713715043E-2</v>
          </cell>
        </row>
        <row r="24">
          <cell r="D24">
            <v>71.166666666666671</v>
          </cell>
          <cell r="M24">
            <v>4.5095659329356101E-2</v>
          </cell>
          <cell r="O24">
            <v>8.2072237017310257E-2</v>
          </cell>
        </row>
        <row r="25">
          <cell r="D25">
            <v>73.166666666666671</v>
          </cell>
          <cell r="M25">
            <v>4.4661592264966056E-2</v>
          </cell>
          <cell r="O25">
            <v>8.1980692410119835E-2</v>
          </cell>
        </row>
        <row r="26">
          <cell r="D26">
            <v>75.166666666666671</v>
          </cell>
          <cell r="M26">
            <v>4.3903723513680312E-2</v>
          </cell>
          <cell r="O26">
            <v>8.1484687083888147E-2</v>
          </cell>
        </row>
        <row r="27">
          <cell r="D27">
            <v>77.166666666666671</v>
          </cell>
          <cell r="M27">
            <v>4.21308372762806E-2</v>
          </cell>
          <cell r="O27">
            <v>8.1030292942742999E-2</v>
          </cell>
        </row>
        <row r="46">
          <cell r="D46">
            <v>0</v>
          </cell>
          <cell r="O46">
            <v>-1.9274300932090546E-3</v>
          </cell>
        </row>
        <row r="47">
          <cell r="D47">
            <v>2</v>
          </cell>
          <cell r="M47">
            <v>2.91226085167661E-2</v>
          </cell>
          <cell r="O47">
            <v>3.5762316910785623E-2</v>
          </cell>
        </row>
        <row r="48">
          <cell r="D48">
            <v>5</v>
          </cell>
          <cell r="M48">
            <v>5.1460604813824321E-2</v>
          </cell>
          <cell r="O48">
            <v>8.4380825565912129E-2</v>
          </cell>
        </row>
        <row r="49">
          <cell r="D49">
            <v>8.0833333333333339</v>
          </cell>
          <cell r="M49">
            <v>5.9165192347253655E-2</v>
          </cell>
          <cell r="O49">
            <v>9.7233688415446079E-2</v>
          </cell>
        </row>
        <row r="50">
          <cell r="D50">
            <v>23.666666666666668</v>
          </cell>
          <cell r="M50">
            <v>5.4090927792635267E-2</v>
          </cell>
          <cell r="O50">
            <v>9.6038615179760312E-2</v>
          </cell>
        </row>
        <row r="51">
          <cell r="D51">
            <v>27.666666666666668</v>
          </cell>
          <cell r="M51">
            <v>5.2584653363505457E-2</v>
          </cell>
          <cell r="O51">
            <v>9.6071904127829566E-2</v>
          </cell>
        </row>
        <row r="52">
          <cell r="D52">
            <v>31.666666666666668</v>
          </cell>
          <cell r="M52">
            <v>5.0684632791606662E-2</v>
          </cell>
          <cell r="O52">
            <v>9.1920772303595202E-2</v>
          </cell>
        </row>
        <row r="53">
          <cell r="D53">
            <v>47.666666666666671</v>
          </cell>
          <cell r="M53">
            <v>4.481917300966879E-2</v>
          </cell>
          <cell r="O53">
            <v>8.3222370173102536E-2</v>
          </cell>
        </row>
        <row r="54">
          <cell r="D54">
            <v>50.166666666666671</v>
          </cell>
          <cell r="M54">
            <v>4.4347253651512035E-2</v>
          </cell>
          <cell r="O54">
            <v>8.1629494007989356E-2</v>
          </cell>
        </row>
        <row r="55">
          <cell r="D55">
            <v>52.666666666666671</v>
          </cell>
          <cell r="M55">
            <v>4.3942810121374208E-2</v>
          </cell>
          <cell r="O55">
            <v>8.1509653794940087E-2</v>
          </cell>
        </row>
        <row r="56">
          <cell r="D56">
            <v>55.166666666666671</v>
          </cell>
          <cell r="M56">
            <v>4.3070973050812589E-2</v>
          </cell>
          <cell r="O56">
            <v>8.1373169107856191E-2</v>
          </cell>
        </row>
        <row r="57">
          <cell r="D57">
            <v>71.166666666666671</v>
          </cell>
          <cell r="M57">
            <v>4.0491133511623124E-2</v>
          </cell>
          <cell r="O57">
            <v>7.6584553928095878E-2</v>
          </cell>
        </row>
        <row r="58">
          <cell r="D58">
            <v>73.166666666666671</v>
          </cell>
          <cell r="M58">
            <v>3.9774655420695332E-2</v>
          </cell>
          <cell r="O58">
            <v>7.5810585885486031E-2</v>
          </cell>
        </row>
        <row r="59">
          <cell r="D59">
            <v>75.166666666666671</v>
          </cell>
          <cell r="M59">
            <v>3.9354001234313929E-2</v>
          </cell>
          <cell r="O59">
            <v>7.6026964047936088E-2</v>
          </cell>
        </row>
        <row r="60">
          <cell r="D60">
            <v>77.166666666666671</v>
          </cell>
          <cell r="M60">
            <v>3.9090557498457107E-2</v>
          </cell>
          <cell r="O60">
            <v>7.6423102529960055E-2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0.5</v>
          </cell>
          <cell r="M13">
            <v>3.1813947747377079E-2</v>
          </cell>
          <cell r="O13">
            <v>3.3114181091877498E-2</v>
          </cell>
        </row>
        <row r="14">
          <cell r="D14">
            <v>4.166666666666667</v>
          </cell>
          <cell r="M14">
            <v>5.9713227730919562E-2</v>
          </cell>
          <cell r="O14">
            <v>8.3988015978695083E-2</v>
          </cell>
        </row>
        <row r="15">
          <cell r="D15">
            <v>8</v>
          </cell>
          <cell r="M15">
            <v>7.3645751902900639E-2</v>
          </cell>
          <cell r="O15">
            <v>0.10874167776298269</v>
          </cell>
        </row>
        <row r="16">
          <cell r="D16">
            <v>24.583333333333336</v>
          </cell>
          <cell r="M16">
            <v>9.3028183501337181E-2</v>
          </cell>
          <cell r="O16">
            <v>0.15475199733688416</v>
          </cell>
        </row>
        <row r="17">
          <cell r="D17">
            <v>31.166666666666668</v>
          </cell>
          <cell r="M17">
            <v>9.9447438798601101E-2</v>
          </cell>
          <cell r="O17">
            <v>0.16159953395472704</v>
          </cell>
        </row>
        <row r="18">
          <cell r="D18">
            <v>48.166666666666671</v>
          </cell>
          <cell r="M18">
            <v>0.10175149146266201</v>
          </cell>
          <cell r="O18">
            <v>0.17234853528628494</v>
          </cell>
        </row>
        <row r="19">
          <cell r="D19">
            <v>55.166666666666671</v>
          </cell>
          <cell r="M19">
            <v>0.10089158609339643</v>
          </cell>
        </row>
        <row r="20">
          <cell r="D20">
            <v>74.666666666666671</v>
          </cell>
          <cell r="M20">
            <v>9.8930261263114591E-2</v>
          </cell>
          <cell r="O20">
            <v>0.17568242343541945</v>
          </cell>
        </row>
        <row r="21">
          <cell r="D21">
            <v>97.333333333333343</v>
          </cell>
          <cell r="M21">
            <v>9.6558732771034772E-2</v>
          </cell>
          <cell r="O21">
            <v>0.17120173102529962</v>
          </cell>
        </row>
        <row r="22">
          <cell r="D22">
            <v>120.83333333333334</v>
          </cell>
          <cell r="M22">
            <v>8.9538778029212091E-2</v>
          </cell>
          <cell r="O22">
            <v>0.16884320905459388</v>
          </cell>
        </row>
        <row r="23">
          <cell r="D23">
            <v>127.16666666666667</v>
          </cell>
          <cell r="M23">
            <v>8.969059864225469E-2</v>
          </cell>
          <cell r="O23">
            <v>0.16659786950732358</v>
          </cell>
        </row>
        <row r="24">
          <cell r="D24">
            <v>144.83333333333334</v>
          </cell>
          <cell r="M24">
            <v>8.8627442912980872E-2</v>
          </cell>
          <cell r="O24">
            <v>0.16507822902796271</v>
          </cell>
        </row>
        <row r="25">
          <cell r="D25">
            <v>151.16666666666669</v>
          </cell>
          <cell r="M25">
            <v>8.4036617979839537E-2</v>
          </cell>
          <cell r="O25">
            <v>0.16509986684420772</v>
          </cell>
        </row>
        <row r="26">
          <cell r="D26">
            <v>168.41666666666669</v>
          </cell>
          <cell r="M26">
            <v>8.3060687101419464E-2</v>
          </cell>
          <cell r="O26">
            <v>0</v>
          </cell>
        </row>
        <row r="45">
          <cell r="D45">
            <v>0.5</v>
          </cell>
          <cell r="O45">
            <v>2.2857856191744342E-2</v>
          </cell>
        </row>
        <row r="46">
          <cell r="D46">
            <v>4.166666666666667</v>
          </cell>
        </row>
        <row r="47">
          <cell r="D47">
            <v>8</v>
          </cell>
          <cell r="M47">
            <v>7.0624562847150782E-2</v>
          </cell>
          <cell r="O47">
            <v>0.10719041278295607</v>
          </cell>
        </row>
        <row r="48">
          <cell r="D48">
            <v>24.583333333333336</v>
          </cell>
          <cell r="M48">
            <v>9.5492285537955149E-2</v>
          </cell>
          <cell r="O48">
            <v>0.15625665778961387</v>
          </cell>
        </row>
        <row r="49">
          <cell r="D49">
            <v>31.166666666666668</v>
          </cell>
          <cell r="M49">
            <v>9.2468627854350963E-2</v>
          </cell>
          <cell r="O49">
            <v>0.16121338215712386</v>
          </cell>
        </row>
        <row r="50">
          <cell r="D50">
            <v>48.166666666666671</v>
          </cell>
          <cell r="M50">
            <v>9.5270520469039291E-2</v>
          </cell>
          <cell r="O50">
            <v>0.16865845539280958</v>
          </cell>
        </row>
        <row r="51">
          <cell r="D51">
            <v>55.166666666666671</v>
          </cell>
          <cell r="M51">
            <v>9.9402592059247064E-2</v>
          </cell>
        </row>
        <row r="52">
          <cell r="D52">
            <v>74.666666666666671</v>
          </cell>
          <cell r="M52">
            <v>9.6360008228759508E-2</v>
          </cell>
          <cell r="O52">
            <v>0.16920272969374167</v>
          </cell>
        </row>
        <row r="53">
          <cell r="D53">
            <v>97.333333333333343</v>
          </cell>
          <cell r="M53">
            <v>9.0781320715902086E-2</v>
          </cell>
          <cell r="O53">
            <v>0.16503328894806926</v>
          </cell>
        </row>
        <row r="54">
          <cell r="D54">
            <v>120.83333333333334</v>
          </cell>
          <cell r="M54">
            <v>8.7056572721662215E-2</v>
          </cell>
          <cell r="O54">
            <v>0.16038948069241013</v>
          </cell>
        </row>
        <row r="55">
          <cell r="D55">
            <v>127.16666666666667</v>
          </cell>
          <cell r="M55">
            <v>8.6537337996297051E-2</v>
          </cell>
          <cell r="O55">
            <v>0.15937416777629829</v>
          </cell>
        </row>
        <row r="56">
          <cell r="D56">
            <v>144.83333333333334</v>
          </cell>
          <cell r="M56">
            <v>8.352643488994034E-2</v>
          </cell>
          <cell r="O56">
            <v>0.15680093209054594</v>
          </cell>
        </row>
        <row r="57">
          <cell r="D57">
            <v>151.16666666666669</v>
          </cell>
          <cell r="M57">
            <v>8.044764451758897E-2</v>
          </cell>
          <cell r="O57">
            <v>0.1552247003994674</v>
          </cell>
        </row>
        <row r="58">
          <cell r="D58">
            <v>168.41666666666669</v>
          </cell>
          <cell r="M58">
            <v>8.063073441678667E-2</v>
          </cell>
          <cell r="O58">
            <v>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3">
          <cell r="D13">
            <v>1</v>
          </cell>
          <cell r="M13">
            <v>0</v>
          </cell>
          <cell r="O13">
            <v>0</v>
          </cell>
        </row>
        <row r="14">
          <cell r="D14">
            <v>25</v>
          </cell>
          <cell r="M14">
            <v>0.14003209216210658</v>
          </cell>
          <cell r="O14">
            <v>0.26611276281355151</v>
          </cell>
        </row>
        <row r="15">
          <cell r="D15">
            <v>1</v>
          </cell>
          <cell r="M15">
            <v>7.5720222176506882E-2</v>
          </cell>
          <cell r="O15">
            <v>0.13721956169553684</v>
          </cell>
        </row>
        <row r="16">
          <cell r="D16">
            <v>25</v>
          </cell>
          <cell r="M16">
            <v>2.3162723719399301E-3</v>
          </cell>
          <cell r="O16">
            <v>4.4532944045859958E-3</v>
          </cell>
        </row>
        <row r="17">
          <cell r="D17">
            <v>49</v>
          </cell>
          <cell r="M17">
            <v>0.12685455667558115</v>
          </cell>
          <cell r="O17">
            <v>0.25445300956009331</v>
          </cell>
        </row>
        <row r="18">
          <cell r="D18">
            <v>73</v>
          </cell>
          <cell r="M18">
            <v>0.12804032092162107</v>
          </cell>
          <cell r="O18">
            <v>0.26741094158907619</v>
          </cell>
        </row>
        <row r="19">
          <cell r="D19">
            <v>121.91666666666667</v>
          </cell>
          <cell r="M19">
            <v>0.1355519440444353</v>
          </cell>
          <cell r="O19">
            <v>0.29352940129248184</v>
          </cell>
        </row>
        <row r="20">
          <cell r="D20">
            <v>145</v>
          </cell>
          <cell r="M20">
            <v>0.13201645751902902</v>
          </cell>
          <cell r="O20">
            <v>0.2902868027985972</v>
          </cell>
        </row>
        <row r="21">
          <cell r="D21">
            <v>170</v>
          </cell>
          <cell r="M21">
            <v>0.12566920386751698</v>
          </cell>
          <cell r="O21">
            <v>0.28042655462783289</v>
          </cell>
        </row>
        <row r="22">
          <cell r="D22">
            <v>194.75</v>
          </cell>
          <cell r="M22">
            <v>0.13141205513268875</v>
          </cell>
          <cell r="O22">
            <v>0.29147318011073331</v>
          </cell>
        </row>
        <row r="23">
          <cell r="D23">
            <v>216.25</v>
          </cell>
          <cell r="M23">
            <v>0.13004196667352397</v>
          </cell>
          <cell r="O23">
            <v>0.28637766819177157</v>
          </cell>
        </row>
        <row r="24">
          <cell r="D24">
            <v>266.25</v>
          </cell>
          <cell r="M24">
            <v>0.12186669409586505</v>
          </cell>
          <cell r="O24">
            <v>0.28290470171440779</v>
          </cell>
        </row>
        <row r="25">
          <cell r="D25">
            <v>288.83333333333331</v>
          </cell>
          <cell r="M25">
            <v>0.12270602756634437</v>
          </cell>
          <cell r="O25">
            <v>0.27302522654038563</v>
          </cell>
        </row>
        <row r="26">
          <cell r="D26">
            <v>312.41666666666663</v>
          </cell>
          <cell r="M26">
            <v>0.1220995679901255</v>
          </cell>
          <cell r="O26">
            <v>0.26847590393619486</v>
          </cell>
        </row>
        <row r="27">
          <cell r="D27">
            <v>335.41666666666663</v>
          </cell>
          <cell r="O27">
            <v>0.26863043207348991</v>
          </cell>
        </row>
        <row r="45">
          <cell r="D45">
            <v>1</v>
          </cell>
          <cell r="O45">
            <v>0.11902262733438963</v>
          </cell>
        </row>
        <row r="46">
          <cell r="D46">
            <v>25</v>
          </cell>
          <cell r="M46">
            <v>0.13543056984159638</v>
          </cell>
          <cell r="O46">
            <v>0.25523170319203858</v>
          </cell>
        </row>
        <row r="47">
          <cell r="D47">
            <v>1</v>
          </cell>
          <cell r="M47">
            <v>0.13856984159637933</v>
          </cell>
          <cell r="O47">
            <v>0.26878852076694382</v>
          </cell>
        </row>
        <row r="48">
          <cell r="D48">
            <v>25</v>
          </cell>
          <cell r="M48">
            <v>0.14540670643900433</v>
          </cell>
          <cell r="O48">
            <v>0.29366256609282371</v>
          </cell>
        </row>
        <row r="49">
          <cell r="D49">
            <v>49</v>
          </cell>
          <cell r="M49">
            <v>0.14720921621065625</v>
          </cell>
          <cell r="O49">
            <v>0.31181499350198499</v>
          </cell>
        </row>
        <row r="50">
          <cell r="D50">
            <v>73</v>
          </cell>
          <cell r="M50">
            <v>0.14462085990536927</v>
          </cell>
          <cell r="O50">
            <v>0.30477897847643803</v>
          </cell>
        </row>
        <row r="51">
          <cell r="D51">
            <v>121.91666666666667</v>
          </cell>
          <cell r="M51">
            <v>0.1389923883974491</v>
          </cell>
          <cell r="O51">
            <v>0.3050997845863524</v>
          </cell>
        </row>
        <row r="52">
          <cell r="D52">
            <v>145</v>
          </cell>
          <cell r="M52">
            <v>0.13431145854762394</v>
          </cell>
          <cell r="O52">
            <v>0.30263766000249237</v>
          </cell>
        </row>
        <row r="53">
          <cell r="D53">
            <v>170</v>
          </cell>
          <cell r="M53">
            <v>0.1355844476445176</v>
          </cell>
          <cell r="O53">
            <v>0.29935731961332362</v>
          </cell>
        </row>
        <row r="54">
          <cell r="D54">
            <v>194.75</v>
          </cell>
          <cell r="M54">
            <v>0.12883851059452786</v>
          </cell>
          <cell r="O54">
            <v>0.29122928201385057</v>
          </cell>
        </row>
        <row r="55">
          <cell r="D55">
            <v>216.25</v>
          </cell>
          <cell r="M55">
            <v>0.12519029006377289</v>
          </cell>
          <cell r="O55">
            <v>0.28340958857773585</v>
          </cell>
        </row>
        <row r="56">
          <cell r="D56">
            <v>266.25</v>
          </cell>
          <cell r="M56">
            <v>0.11922361653980663</v>
          </cell>
          <cell r="O56">
            <v>0.27362482419753964</v>
          </cell>
        </row>
        <row r="57">
          <cell r="D57">
            <v>288.83333333333331</v>
          </cell>
          <cell r="M57">
            <v>0.11708660769389015</v>
          </cell>
          <cell r="O57">
            <v>0.26697263712591907</v>
          </cell>
        </row>
        <row r="58">
          <cell r="D58">
            <v>312.41666666666663</v>
          </cell>
          <cell r="M58">
            <v>0.11473770829047521</v>
          </cell>
          <cell r="O58">
            <v>0.2585650958679746</v>
          </cell>
        </row>
        <row r="59">
          <cell r="D59">
            <v>335.41666666666663</v>
          </cell>
          <cell r="O59">
            <v>0.25415855156575456</v>
          </cell>
        </row>
      </sheetData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7">
          <cell r="D17">
            <v>0.5</v>
          </cell>
          <cell r="M17">
            <v>4.0237358568195845E-2</v>
          </cell>
          <cell r="O17">
            <v>7.9847252140784392E-2</v>
          </cell>
        </row>
        <row r="18">
          <cell r="D18">
            <v>7.0857142857142854</v>
          </cell>
          <cell r="M18">
            <v>7.2700267434684218E-2</v>
          </cell>
          <cell r="O18">
            <v>0.14070534617507255</v>
          </cell>
        </row>
        <row r="19">
          <cell r="D19">
            <v>24.583333333333332</v>
          </cell>
          <cell r="M19">
            <v>9.1669203867516966E-2</v>
          </cell>
          <cell r="O19">
            <v>0.17471755888269747</v>
          </cell>
        </row>
        <row r="20">
          <cell r="D20">
            <v>30.5</v>
          </cell>
          <cell r="M20">
            <v>9.545978193787287E-2</v>
          </cell>
          <cell r="O20">
            <v>0.17986790336650585</v>
          </cell>
        </row>
        <row r="21">
          <cell r="D21">
            <v>51.249999999999993</v>
          </cell>
          <cell r="M21">
            <v>0.10114256325858878</v>
          </cell>
          <cell r="O21">
            <v>0.18869950686297199</v>
          </cell>
        </row>
        <row r="22">
          <cell r="D22">
            <v>78.583333333333329</v>
          </cell>
          <cell r="M22">
            <v>0.10338325447438798</v>
          </cell>
          <cell r="O22">
            <v>0.19284185789820368</v>
          </cell>
        </row>
        <row r="23">
          <cell r="D23">
            <v>99.833333333333329</v>
          </cell>
          <cell r="M23">
            <v>0.10314297469656449</v>
          </cell>
          <cell r="O23">
            <v>0.19515337095654339</v>
          </cell>
        </row>
        <row r="24">
          <cell r="D24">
            <v>126.33333333333333</v>
          </cell>
          <cell r="M24">
            <v>9.1664266611808265E-2</v>
          </cell>
          <cell r="O24">
            <v>0.18487048476972101</v>
          </cell>
        </row>
        <row r="25">
          <cell r="D25">
            <v>145.74999999999997</v>
          </cell>
          <cell r="M25">
            <v>9.2266611808269908E-2</v>
          </cell>
          <cell r="O25">
            <v>0.18167310533905398</v>
          </cell>
        </row>
        <row r="26">
          <cell r="D26">
            <v>151.24999999999997</v>
          </cell>
          <cell r="M26">
            <v>0.12663320304464101</v>
          </cell>
          <cell r="O26">
            <v>0.27496003275711667</v>
          </cell>
        </row>
        <row r="27">
          <cell r="D27">
            <v>168</v>
          </cell>
          <cell r="M27">
            <v>8.9167249537132273E-2</v>
          </cell>
          <cell r="O27">
            <v>0.18094034288155811</v>
          </cell>
        </row>
        <row r="28">
          <cell r="D28">
            <v>174</v>
          </cell>
          <cell r="M28">
            <v>9.5708290475210858E-2</v>
          </cell>
          <cell r="O28">
            <v>0.18522119955136992</v>
          </cell>
        </row>
        <row r="29">
          <cell r="D29">
            <v>194.24999999999997</v>
          </cell>
          <cell r="M29">
            <v>8.9559761365974086E-2</v>
          </cell>
          <cell r="O29">
            <v>0.18574994214096241</v>
          </cell>
        </row>
        <row r="47">
          <cell r="D47">
            <v>0.5</v>
          </cell>
          <cell r="M47">
            <v>4.0499526846327918E-2</v>
          </cell>
          <cell r="O47">
            <v>6.2205052429189445E-2</v>
          </cell>
        </row>
        <row r="48">
          <cell r="D48">
            <v>7.0857142857142854</v>
          </cell>
          <cell r="M48">
            <v>6.9589796338202017E-2</v>
          </cell>
          <cell r="O48">
            <v>0.1226237738334728</v>
          </cell>
        </row>
        <row r="49">
          <cell r="D49">
            <v>24.583333333333332</v>
          </cell>
          <cell r="M49">
            <v>8.9647397654803535E-2</v>
          </cell>
          <cell r="O49">
            <v>0.16429153833828844</v>
          </cell>
        </row>
        <row r="50">
          <cell r="D50">
            <v>30.5</v>
          </cell>
          <cell r="M50">
            <v>9.3647809092779269E-2</v>
          </cell>
          <cell r="O50">
            <v>0.17270121592992824</v>
          </cell>
        </row>
        <row r="51">
          <cell r="D51">
            <v>51.249999999999993</v>
          </cell>
          <cell r="M51">
            <v>9.6865665500925735E-2</v>
          </cell>
          <cell r="O51">
            <v>0.1892453401221271</v>
          </cell>
        </row>
        <row r="52">
          <cell r="D52">
            <v>78.583333333333329</v>
          </cell>
          <cell r="M52">
            <v>0.10020037029417815</v>
          </cell>
          <cell r="O52">
            <v>0.19140125687632409</v>
          </cell>
        </row>
        <row r="53">
          <cell r="D53">
            <v>99.833333333333329</v>
          </cell>
          <cell r="M53">
            <v>0.10425714873482823</v>
          </cell>
          <cell r="O53">
            <v>0.19484146623702622</v>
          </cell>
        </row>
        <row r="54">
          <cell r="D54">
            <v>126.33333333333333</v>
          </cell>
          <cell r="M54">
            <v>9.6874305698415972E-2</v>
          </cell>
          <cell r="O54">
            <v>0.19424685335849459</v>
          </cell>
        </row>
        <row r="55">
          <cell r="D55">
            <v>145.74999999999997</v>
          </cell>
          <cell r="M55">
            <v>9.2464924912569427E-2</v>
          </cell>
          <cell r="O55">
            <v>0.18596179523241529</v>
          </cell>
        </row>
        <row r="56">
          <cell r="D56">
            <v>151.24999999999997</v>
          </cell>
          <cell r="M56">
            <v>0.13491915243777</v>
          </cell>
          <cell r="O56">
            <v>0.29661818376030336</v>
          </cell>
        </row>
        <row r="57">
          <cell r="D57">
            <v>168</v>
          </cell>
          <cell r="M57">
            <v>9.5021189055749841E-2</v>
          </cell>
          <cell r="O57">
            <v>0.19833152338395257</v>
          </cell>
        </row>
        <row r="58">
          <cell r="D58">
            <v>174</v>
          </cell>
          <cell r="M58">
            <v>0.10146924501131453</v>
          </cell>
          <cell r="O58">
            <v>0.21595627637036907</v>
          </cell>
        </row>
        <row r="59">
          <cell r="D59">
            <v>194.24999999999997</v>
          </cell>
          <cell r="M59">
            <v>9.8007405883563062E-2</v>
          </cell>
          <cell r="O59">
            <v>0.20447882359224512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Yu Gothic Light"/>
      <a:font script="Hang" typeface="맑은 고딕"/>
      <a:font script="Hans" typeface="DengXian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 panose="020F0502020204030204"/>
      <a:ea typeface=""/>
      <a:cs typeface=""/>
      <a:font script="Jpan" typeface="Yu Gothic"/>
      <a:font script="Hang" typeface="맑은 고딕"/>
      <a:font script="Hans" typeface="DengXian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321CD-F113-4D1B-BD0E-E4E623912677}">
  <dimension ref="A1:Y81"/>
  <sheetViews>
    <sheetView tabSelected="1" workbookViewId="0">
      <selection activeCell="F9" sqref="F9"/>
    </sheetView>
  </sheetViews>
  <sheetFormatPr defaultColWidth="10.81640625" defaultRowHeight="14.5" x14ac:dyDescent="0.35"/>
  <cols>
    <col min="1" max="1" width="14.453125" customWidth="1"/>
    <col min="4" max="4" width="11.6328125" customWidth="1"/>
    <col min="5" max="5" width="12.453125" bestFit="1" customWidth="1"/>
    <col min="6" max="6" width="15.453125" bestFit="1" customWidth="1"/>
    <col min="7" max="7" width="15.36328125" bestFit="1" customWidth="1"/>
    <col min="8" max="8" width="15" bestFit="1" customWidth="1"/>
    <col min="9" max="9" width="15.36328125" bestFit="1" customWidth="1"/>
    <col min="10" max="12" width="15" bestFit="1" customWidth="1"/>
    <col min="13" max="13" width="13.1796875" bestFit="1" customWidth="1"/>
    <col min="16" max="16" width="12.36328125" bestFit="1" customWidth="1"/>
    <col min="17" max="17" width="12.36328125" customWidth="1"/>
    <col min="18" max="18" width="15" bestFit="1" customWidth="1"/>
    <col min="19" max="19" width="11.6328125" customWidth="1"/>
    <col min="20" max="20" width="15" bestFit="1" customWidth="1"/>
    <col min="21" max="21" width="18" bestFit="1" customWidth="1"/>
    <col min="22" max="22" width="21.1796875" bestFit="1" customWidth="1"/>
    <col min="23" max="23" width="16.81640625" bestFit="1" customWidth="1"/>
    <col min="24" max="24" width="20" bestFit="1" customWidth="1"/>
  </cols>
  <sheetData>
    <row r="1" spans="1:25" ht="18.5" x14ac:dyDescent="0.45">
      <c r="A1" s="1" t="s">
        <v>41</v>
      </c>
    </row>
    <row r="2" spans="1:25" x14ac:dyDescent="0.35">
      <c r="A2" s="2" t="s">
        <v>0</v>
      </c>
      <c r="C2" s="3">
        <v>0.41666666666666669</v>
      </c>
    </row>
    <row r="3" spans="1:25" x14ac:dyDescent="0.35">
      <c r="A3" s="2" t="s">
        <v>1</v>
      </c>
      <c r="C3">
        <v>169.21</v>
      </c>
    </row>
    <row r="4" spans="1:25" x14ac:dyDescent="0.35">
      <c r="A4" s="2" t="s">
        <v>2</v>
      </c>
    </row>
    <row r="5" spans="1:25" x14ac:dyDescent="0.35">
      <c r="A5" s="2" t="s">
        <v>3</v>
      </c>
      <c r="C5">
        <f>(9.092+1.013-9.126)</f>
        <v>0.97900000000000098</v>
      </c>
    </row>
    <row r="6" spans="1:25" x14ac:dyDescent="0.35">
      <c r="A6" s="2" t="s">
        <v>4</v>
      </c>
      <c r="C6">
        <f>AVERAGE(G23:G27)/(60*60)</f>
        <v>2.8085000000000002E-3</v>
      </c>
    </row>
    <row r="7" spans="1:25" ht="15" thickBot="1" x14ac:dyDescent="0.4">
      <c r="A7" s="2" t="s">
        <v>5</v>
      </c>
      <c r="C7">
        <v>2414000</v>
      </c>
    </row>
    <row r="8" spans="1:25" x14ac:dyDescent="0.35">
      <c r="A8" s="4" t="s">
        <v>6</v>
      </c>
      <c r="B8" s="5"/>
      <c r="C8" s="6">
        <f>AVERAGE(V28:V29)</f>
        <v>-16.214741694988739</v>
      </c>
    </row>
    <row r="9" spans="1:25" ht="15" thickBot="1" x14ac:dyDescent="0.4">
      <c r="A9" s="7" t="s">
        <v>7</v>
      </c>
      <c r="B9" s="8"/>
      <c r="C9" s="9">
        <f>AVERAGE(X27:X29)</f>
        <v>-16.423716002121374</v>
      </c>
    </row>
    <row r="10" spans="1:25" x14ac:dyDescent="0.35">
      <c r="A10" s="10"/>
    </row>
    <row r="11" spans="1:25" x14ac:dyDescent="0.35">
      <c r="A11" s="2"/>
    </row>
    <row r="12" spans="1:25" ht="15" thickBot="1" x14ac:dyDescent="0.4"/>
    <row r="13" spans="1:25" x14ac:dyDescent="0.35">
      <c r="A13" s="11" t="s">
        <v>8</v>
      </c>
      <c r="B13" s="12"/>
      <c r="C13" s="12"/>
      <c r="D13" s="12"/>
      <c r="E13" s="13" t="s">
        <v>9</v>
      </c>
      <c r="F13" s="13"/>
      <c r="G13" s="13"/>
      <c r="H13" s="14"/>
      <c r="I13" s="14"/>
      <c r="J13" s="14"/>
      <c r="K13" s="15" t="s">
        <v>10</v>
      </c>
      <c r="L13" s="15"/>
      <c r="M13" s="15"/>
      <c r="N13" s="16" t="s">
        <v>10</v>
      </c>
      <c r="O13" s="16"/>
      <c r="P13" s="16"/>
      <c r="Q13" s="17" t="s">
        <v>11</v>
      </c>
      <c r="R13" s="18"/>
      <c r="S13" s="18"/>
      <c r="T13" s="18"/>
      <c r="U13" s="19" t="s">
        <v>12</v>
      </c>
      <c r="V13" s="20"/>
      <c r="W13" s="20"/>
      <c r="X13" s="20"/>
      <c r="Y13" s="21"/>
    </row>
    <row r="14" spans="1:25" ht="15" thickBot="1" x14ac:dyDescent="0.4">
      <c r="A14" s="22" t="s">
        <v>13</v>
      </c>
      <c r="B14" s="23" t="s">
        <v>14</v>
      </c>
      <c r="C14" s="23" t="s">
        <v>15</v>
      </c>
      <c r="D14" s="23" t="s">
        <v>16</v>
      </c>
      <c r="E14" s="24" t="s">
        <v>17</v>
      </c>
      <c r="F14" s="24" t="s">
        <v>18</v>
      </c>
      <c r="G14" s="24" t="s">
        <v>19</v>
      </c>
      <c r="H14" s="24" t="s">
        <v>20</v>
      </c>
      <c r="I14" s="24" t="s">
        <v>21</v>
      </c>
      <c r="J14" s="24" t="s">
        <v>22</v>
      </c>
      <c r="K14" s="25" t="s">
        <v>21</v>
      </c>
      <c r="L14" s="25" t="s">
        <v>23</v>
      </c>
      <c r="M14" s="25" t="s">
        <v>24</v>
      </c>
      <c r="N14" s="26" t="s">
        <v>25</v>
      </c>
      <c r="O14" s="26" t="s">
        <v>26</v>
      </c>
      <c r="P14" s="26" t="s">
        <v>27</v>
      </c>
      <c r="Q14" s="27" t="s">
        <v>28</v>
      </c>
      <c r="R14" s="27" t="s">
        <v>29</v>
      </c>
      <c r="S14" s="28" t="s">
        <v>30</v>
      </c>
      <c r="T14" s="27" t="s">
        <v>31</v>
      </c>
      <c r="U14" s="29" t="s">
        <v>32</v>
      </c>
      <c r="V14" s="29" t="s">
        <v>33</v>
      </c>
      <c r="W14" s="29" t="s">
        <v>34</v>
      </c>
      <c r="X14" s="29" t="s">
        <v>35</v>
      </c>
      <c r="Y14" s="30" t="s">
        <v>36</v>
      </c>
    </row>
    <row r="15" spans="1:25" x14ac:dyDescent="0.35">
      <c r="A15" s="31">
        <v>1</v>
      </c>
      <c r="B15" s="32">
        <v>43517</v>
      </c>
      <c r="C15" s="33">
        <v>0.4375</v>
      </c>
      <c r="D15" s="34">
        <v>0.5</v>
      </c>
      <c r="E15" s="31">
        <v>6.6020000000000003</v>
      </c>
      <c r="F15" s="31">
        <v>18.385999999999999</v>
      </c>
      <c r="G15" s="31">
        <f>F15-E15</f>
        <v>11.783999999999999</v>
      </c>
      <c r="H15" s="31">
        <v>9.2799999999999994</v>
      </c>
      <c r="I15" s="31">
        <v>5.3970000000000002</v>
      </c>
      <c r="J15" s="31">
        <v>9.4E-2</v>
      </c>
      <c r="K15" s="31">
        <v>0.51800000000000002</v>
      </c>
      <c r="L15" s="31">
        <v>5.0579999999999998</v>
      </c>
      <c r="M15" s="31">
        <f>((I15+J15)/I15)*(L15/K15)</f>
        <v>9.9345475070878084</v>
      </c>
      <c r="N15" s="31">
        <v>0.309</v>
      </c>
      <c r="O15" s="31">
        <v>9.9589999999999996</v>
      </c>
      <c r="P15" s="31">
        <f>O15/N15</f>
        <v>32.229773462783172</v>
      </c>
      <c r="Q15" s="31">
        <v>3.8611200000000001</v>
      </c>
      <c r="R15" s="31">
        <f>Q15/24.305*M15</f>
        <v>1.5782135392127907</v>
      </c>
      <c r="S15" s="35">
        <v>4.6520000000000001</v>
      </c>
      <c r="T15" s="31">
        <f>S15/60.08*P15</f>
        <v>2.4955543633300152</v>
      </c>
      <c r="U15" s="31">
        <f>((($O$36-R15)*10^(-6))*$C$6)/($C$7*$C$5*4)</f>
        <v>1.6025784584920256E-17</v>
      </c>
      <c r="V15" s="31">
        <f>LOG(U15)</f>
        <v>-16.795180699246874</v>
      </c>
      <c r="W15" s="31">
        <f t="shared" ref="W15:W29" si="0">((($Q$36-T15)*10^(-6))*$C$6)/($C$7*$C$5*6)</f>
        <v>5.8592867457419592E-18</v>
      </c>
      <c r="X15" s="31">
        <f>LOG(W15)</f>
        <v>-17.232155247674992</v>
      </c>
      <c r="Y15" s="31">
        <f t="shared" ref="Y15:Y29" si="1">($Q$36-T15)/($O$36-R15)</f>
        <v>0.54842432656202278</v>
      </c>
    </row>
    <row r="16" spans="1:25" x14ac:dyDescent="0.35">
      <c r="A16" s="35">
        <v>2</v>
      </c>
      <c r="B16" s="32">
        <v>43517</v>
      </c>
      <c r="C16" s="36">
        <v>0.5625</v>
      </c>
      <c r="D16" s="37">
        <f>D15+3</f>
        <v>3.5</v>
      </c>
      <c r="E16" s="35">
        <v>6.7309999999999999</v>
      </c>
      <c r="F16" s="35">
        <v>17.977</v>
      </c>
      <c r="G16" s="31">
        <f t="shared" ref="G16:G29" si="2">F16-E16</f>
        <v>11.246</v>
      </c>
      <c r="H16" s="35">
        <v>9.1</v>
      </c>
      <c r="I16" s="35">
        <v>5.08</v>
      </c>
      <c r="J16" s="35">
        <v>8.6999999999999994E-2</v>
      </c>
      <c r="K16" s="35">
        <v>0.52</v>
      </c>
      <c r="L16" s="35">
        <v>5.016</v>
      </c>
      <c r="M16" s="31">
        <f t="shared" ref="M16:M29" si="3">((I16+J16)/I16)*(L16/K16)</f>
        <v>9.8113537250151417</v>
      </c>
      <c r="N16" s="35">
        <v>0.312</v>
      </c>
      <c r="O16" s="35">
        <v>10.048999999999999</v>
      </c>
      <c r="P16" s="31">
        <f t="shared" ref="P16:P29" si="4">O16/N16</f>
        <v>32.208333333333329</v>
      </c>
      <c r="Q16" s="35">
        <v>3.5371600000000001</v>
      </c>
      <c r="R16" s="31">
        <f t="shared" ref="R16:R29" si="5">Q16/24.305*M16</f>
        <v>1.4278678437348102</v>
      </c>
      <c r="S16" s="35">
        <v>4.5467000000000004</v>
      </c>
      <c r="T16" s="31">
        <f t="shared" ref="T16:T29" si="6">S16/60.08*P16</f>
        <v>2.4374438942521084</v>
      </c>
      <c r="U16" s="31">
        <f t="shared" ref="U16:U29" si="7">((($O$36-R16)*10^(-6))*$C$6)/($C$7*$C$5*4)</f>
        <v>6.0692650169604143E-17</v>
      </c>
      <c r="V16" s="31">
        <f t="shared" ref="V16:V29" si="8">LOG(U16)</f>
        <v>-16.216863898447802</v>
      </c>
      <c r="W16" s="31">
        <f t="shared" si="0"/>
        <v>1.7368817067905149E-17</v>
      </c>
      <c r="X16" s="31">
        <f t="shared" ref="X16:X29" si="9">LOG(W16)</f>
        <v>-16.760229758891729</v>
      </c>
      <c r="Y16" s="31">
        <f t="shared" si="1"/>
        <v>0.42926491970695979</v>
      </c>
    </row>
    <row r="17" spans="1:25" x14ac:dyDescent="0.35">
      <c r="A17" s="31">
        <v>3</v>
      </c>
      <c r="B17" s="38">
        <v>43517</v>
      </c>
      <c r="C17" s="36">
        <v>0.6875</v>
      </c>
      <c r="D17" s="37">
        <f>D16+3</f>
        <v>6.5</v>
      </c>
      <c r="E17" s="35">
        <v>6.6379999999999999</v>
      </c>
      <c r="F17" s="35">
        <v>17.555</v>
      </c>
      <c r="G17" s="31">
        <f t="shared" si="2"/>
        <v>10.917</v>
      </c>
      <c r="H17" s="35">
        <v>9.0299999999999994</v>
      </c>
      <c r="I17" s="35">
        <v>4.76</v>
      </c>
      <c r="J17" s="35">
        <v>9.9000000000000005E-2</v>
      </c>
      <c r="K17" s="35">
        <v>0.52100000000000002</v>
      </c>
      <c r="L17" s="35">
        <v>5.0330000000000004</v>
      </c>
      <c r="M17" s="31">
        <f t="shared" si="3"/>
        <v>9.8611860675172203</v>
      </c>
      <c r="N17" s="35">
        <v>0.314</v>
      </c>
      <c r="O17" s="35">
        <v>10.042</v>
      </c>
      <c r="P17" s="31">
        <f t="shared" si="4"/>
        <v>31.980891719745223</v>
      </c>
      <c r="Q17" s="35">
        <v>3.5575999999999999</v>
      </c>
      <c r="R17" s="31">
        <f t="shared" si="5"/>
        <v>1.4434131065130329</v>
      </c>
      <c r="S17" s="35">
        <v>4.4866000000000001</v>
      </c>
      <c r="T17" s="31">
        <f t="shared" si="6"/>
        <v>2.3882401596173257</v>
      </c>
      <c r="U17" s="31">
        <f t="shared" si="7"/>
        <v>5.6074239507523325E-17</v>
      </c>
      <c r="V17" s="31">
        <f t="shared" si="8"/>
        <v>-16.251236607712464</v>
      </c>
      <c r="W17" s="31">
        <f t="shared" si="0"/>
        <v>2.7114253384784062E-17</v>
      </c>
      <c r="X17" s="31">
        <f t="shared" si="9"/>
        <v>-16.566802349750844</v>
      </c>
      <c r="Y17" s="31">
        <f t="shared" si="1"/>
        <v>0.72531309268526634</v>
      </c>
    </row>
    <row r="18" spans="1:25" x14ac:dyDescent="0.35">
      <c r="A18" s="35">
        <v>4</v>
      </c>
      <c r="B18" s="32">
        <v>43517</v>
      </c>
      <c r="C18" s="36">
        <v>0.8125</v>
      </c>
      <c r="D18" s="37">
        <f>D17+3</f>
        <v>9.5</v>
      </c>
      <c r="E18" s="35">
        <v>6.7409999999999997</v>
      </c>
      <c r="F18" s="35">
        <v>16.652000000000001</v>
      </c>
      <c r="G18" s="31">
        <f t="shared" si="2"/>
        <v>9.9110000000000014</v>
      </c>
      <c r="H18" s="35">
        <v>8.7899999999999991</v>
      </c>
      <c r="I18" s="35">
        <v>4.1660000000000004</v>
      </c>
      <c r="J18" s="35">
        <v>9.0999999999999998E-2</v>
      </c>
      <c r="K18" s="35">
        <v>0.51600000000000001</v>
      </c>
      <c r="L18" s="35">
        <v>5.056</v>
      </c>
      <c r="M18" s="31">
        <f t="shared" si="3"/>
        <v>10.012481997119538</v>
      </c>
      <c r="N18" s="35">
        <v>0.312</v>
      </c>
      <c r="O18" s="35">
        <v>10.031000000000001</v>
      </c>
      <c r="P18" s="31">
        <f t="shared" si="4"/>
        <v>32.150641025641029</v>
      </c>
      <c r="Q18" s="35">
        <v>3.5146799999999998</v>
      </c>
      <c r="R18" s="31">
        <f t="shared" si="5"/>
        <v>1.4478778122047355</v>
      </c>
      <c r="S18" s="35">
        <v>4.3582000000000001</v>
      </c>
      <c r="T18" s="31">
        <f t="shared" si="6"/>
        <v>2.3322057875823692</v>
      </c>
      <c r="U18" s="31">
        <f t="shared" si="7"/>
        <v>5.4747800407471658E-17</v>
      </c>
      <c r="V18" s="31">
        <f t="shared" si="8"/>
        <v>-16.261633324708612</v>
      </c>
      <c r="W18" s="31">
        <f t="shared" si="0"/>
        <v>3.8212585823902204E-17</v>
      </c>
      <c r="X18" s="31">
        <f t="shared" si="9"/>
        <v>-16.417793572857146</v>
      </c>
      <c r="Y18" s="31">
        <f t="shared" si="1"/>
        <v>1.0469622214818839</v>
      </c>
    </row>
    <row r="19" spans="1:25" x14ac:dyDescent="0.35">
      <c r="A19" s="31">
        <v>5</v>
      </c>
      <c r="B19" s="32">
        <v>43518</v>
      </c>
      <c r="C19" s="36">
        <v>0.5625</v>
      </c>
      <c r="D19" s="37">
        <f>D16+24</f>
        <v>27.5</v>
      </c>
      <c r="E19" s="35">
        <v>6.6360000000000001</v>
      </c>
      <c r="F19" s="35"/>
      <c r="G19" s="31">
        <f t="shared" si="2"/>
        <v>-6.6360000000000001</v>
      </c>
      <c r="H19" s="35">
        <v>8.5299999999999994</v>
      </c>
      <c r="I19" s="35">
        <v>4.2240000000000002</v>
      </c>
      <c r="J19" s="35">
        <v>9.8000000000000004E-2</v>
      </c>
      <c r="K19" s="35">
        <v>0.51</v>
      </c>
      <c r="L19" s="35">
        <v>5.0259999999999998</v>
      </c>
      <c r="M19" s="31">
        <f t="shared" si="3"/>
        <v>10.083543152109327</v>
      </c>
      <c r="N19" s="35">
        <v>0.312</v>
      </c>
      <c r="O19" s="35">
        <v>10.076000000000001</v>
      </c>
      <c r="P19" s="31">
        <f t="shared" si="4"/>
        <v>32.294871794871796</v>
      </c>
      <c r="Q19" s="35">
        <v>3.52169</v>
      </c>
      <c r="R19" s="31">
        <f t="shared" si="5"/>
        <v>1.4610620482761527</v>
      </c>
      <c r="S19" s="35">
        <v>4.3413000000000004</v>
      </c>
      <c r="T19" s="31">
        <f t="shared" si="6"/>
        <v>2.3335840033801087</v>
      </c>
      <c r="U19" s="31">
        <f t="shared" si="7"/>
        <v>5.0830837580125652E-17</v>
      </c>
      <c r="V19" s="31">
        <f t="shared" si="8"/>
        <v>-16.293872734022855</v>
      </c>
      <c r="W19" s="31">
        <f t="shared" si="0"/>
        <v>3.7939612351715963E-17</v>
      </c>
      <c r="X19" s="31">
        <f t="shared" si="9"/>
        <v>-16.42090711083193</v>
      </c>
      <c r="Y19" s="31">
        <f t="shared" si="1"/>
        <v>1.119584512804191</v>
      </c>
    </row>
    <row r="20" spans="1:25" x14ac:dyDescent="0.35">
      <c r="A20" s="35">
        <v>6</v>
      </c>
      <c r="B20" s="32">
        <v>43519</v>
      </c>
      <c r="C20" s="36">
        <v>0.57291666666666663</v>
      </c>
      <c r="D20" s="37">
        <f>D19+24+15/60</f>
        <v>51.75</v>
      </c>
      <c r="E20" s="35"/>
      <c r="F20" s="35">
        <v>17.16</v>
      </c>
      <c r="G20" s="31">
        <f t="shared" si="2"/>
        <v>17.16</v>
      </c>
      <c r="H20" s="35">
        <v>8.68</v>
      </c>
      <c r="I20" s="35">
        <v>4.5720000000000001</v>
      </c>
      <c r="J20" s="35">
        <v>9.9000000000000005E-2</v>
      </c>
      <c r="K20" s="35">
        <v>0.50800000000000001</v>
      </c>
      <c r="L20" s="35">
        <v>5.0410000000000004</v>
      </c>
      <c r="M20" s="31">
        <f t="shared" si="3"/>
        <v>10.138101401202803</v>
      </c>
      <c r="N20" s="35">
        <v>0.311</v>
      </c>
      <c r="O20" s="35">
        <v>10.119</v>
      </c>
      <c r="P20" s="31">
        <f t="shared" si="4"/>
        <v>32.536977491961416</v>
      </c>
      <c r="Q20" s="35">
        <v>3.4334699999999998</v>
      </c>
      <c r="R20" s="31">
        <f t="shared" si="5"/>
        <v>1.4321689783167164</v>
      </c>
      <c r="S20" s="35">
        <v>4.2649999999999997</v>
      </c>
      <c r="T20" s="31">
        <f t="shared" si="6"/>
        <v>2.3097571405328798</v>
      </c>
      <c r="U20" s="31">
        <f t="shared" si="7"/>
        <v>5.9414807131791491E-17</v>
      </c>
      <c r="V20" s="31">
        <f t="shared" si="8"/>
        <v>-16.226105308314235</v>
      </c>
      <c r="W20" s="31">
        <f t="shared" si="0"/>
        <v>4.2658830846657811E-17</v>
      </c>
      <c r="X20" s="31">
        <f t="shared" si="9"/>
        <v>-16.369991051460499</v>
      </c>
      <c r="Y20" s="31">
        <f t="shared" si="1"/>
        <v>1.076974736752921</v>
      </c>
    </row>
    <row r="21" spans="1:25" x14ac:dyDescent="0.35">
      <c r="A21" s="31">
        <v>7</v>
      </c>
      <c r="B21" s="32">
        <v>43519</v>
      </c>
      <c r="C21" s="36">
        <v>0.67708333333333337</v>
      </c>
      <c r="D21" s="37">
        <f>D20+2.5</f>
        <v>54.25</v>
      </c>
      <c r="E21" s="35">
        <v>6.33</v>
      </c>
      <c r="F21" s="35">
        <v>16.853999999999999</v>
      </c>
      <c r="G21" s="31">
        <f t="shared" si="2"/>
        <v>10.523999999999999</v>
      </c>
      <c r="H21" s="35">
        <v>8.5399999999999991</v>
      </c>
      <c r="I21" s="35">
        <v>4.5279999999999996</v>
      </c>
      <c r="J21" s="35">
        <v>7.9000000000000001E-2</v>
      </c>
      <c r="K21" s="35">
        <v>0.51500000000000001</v>
      </c>
      <c r="L21" s="35">
        <v>5.0309999999999997</v>
      </c>
      <c r="M21" s="31">
        <f t="shared" si="3"/>
        <v>9.9393705615973094</v>
      </c>
      <c r="N21" s="35">
        <v>0.308</v>
      </c>
      <c r="O21" s="35">
        <v>10.071999999999999</v>
      </c>
      <c r="P21" s="31">
        <f t="shared" si="4"/>
        <v>32.701298701298697</v>
      </c>
      <c r="Q21" s="35">
        <v>3.4563100000000002</v>
      </c>
      <c r="R21" s="31">
        <f t="shared" si="5"/>
        <v>1.4134353369987409</v>
      </c>
      <c r="S21" s="35">
        <v>4.2370000000000001</v>
      </c>
      <c r="T21" s="31">
        <f t="shared" si="6"/>
        <v>2.3061818008888579</v>
      </c>
      <c r="U21" s="31">
        <f>((($O$36-R21)*10^(-6))*$C$6)/($C$7*$C$5*4)</f>
        <v>6.498046723267709E-17</v>
      </c>
      <c r="V21" s="31">
        <f t="shared" si="8"/>
        <v>-16.18721717024798</v>
      </c>
      <c r="W21" s="31">
        <f t="shared" si="0"/>
        <v>4.3366973126317144E-17</v>
      </c>
      <c r="X21" s="31">
        <f t="shared" si="9"/>
        <v>-16.362840889135828</v>
      </c>
      <c r="Y21" s="31">
        <f t="shared" si="1"/>
        <v>1.0010771307098794</v>
      </c>
    </row>
    <row r="22" spans="1:25" x14ac:dyDescent="0.35">
      <c r="A22" s="35">
        <v>8</v>
      </c>
      <c r="B22" s="32">
        <v>43519</v>
      </c>
      <c r="C22" s="36">
        <v>0.78472222222222221</v>
      </c>
      <c r="D22" s="37">
        <f>D21+2.5+5/60</f>
        <v>56.833333333333336</v>
      </c>
      <c r="E22" s="35">
        <v>6.62</v>
      </c>
      <c r="F22" s="35">
        <v>16.696999999999999</v>
      </c>
      <c r="G22" s="31">
        <f t="shared" si="2"/>
        <v>10.076999999999998</v>
      </c>
      <c r="H22" s="35">
        <v>8.52</v>
      </c>
      <c r="I22" s="35">
        <v>4.4809999999999999</v>
      </c>
      <c r="J22" s="35">
        <v>8.6999999999999994E-2</v>
      </c>
      <c r="K22" s="35">
        <v>0.51</v>
      </c>
      <c r="L22" s="35">
        <v>5.0149999999999997</v>
      </c>
      <c r="M22" s="31">
        <f t="shared" si="3"/>
        <v>10.02425053931414</v>
      </c>
      <c r="N22" s="35">
        <v>0.307</v>
      </c>
      <c r="O22" s="35">
        <v>10.063000000000001</v>
      </c>
      <c r="P22" s="31">
        <f t="shared" si="4"/>
        <v>32.7785016286645</v>
      </c>
      <c r="Q22" s="35">
        <v>3.52345</v>
      </c>
      <c r="R22" s="31">
        <f t="shared" si="5"/>
        <v>1.4531966905059208</v>
      </c>
      <c r="S22" s="35">
        <v>4.2584</v>
      </c>
      <c r="T22" s="31">
        <f t="shared" si="6"/>
        <v>2.3233017865430248</v>
      </c>
      <c r="U22" s="31">
        <f t="shared" si="7"/>
        <v>5.3167591400589053E-17</v>
      </c>
      <c r="V22" s="31">
        <f t="shared" si="8"/>
        <v>-16.274353013658491</v>
      </c>
      <c r="W22" s="31">
        <f t="shared" si="0"/>
        <v>3.9976138443198987E-17</v>
      </c>
      <c r="X22" s="31">
        <f t="shared" si="9"/>
        <v>-16.398199159537722</v>
      </c>
      <c r="Y22" s="31">
        <f t="shared" si="1"/>
        <v>1.127833819158754</v>
      </c>
    </row>
    <row r="23" spans="1:25" x14ac:dyDescent="0.35">
      <c r="A23" s="31">
        <v>9</v>
      </c>
      <c r="B23" s="32">
        <v>43520</v>
      </c>
      <c r="C23" s="36">
        <v>0.55208333333333337</v>
      </c>
      <c r="D23" s="37">
        <f>D20+24 -0.5</f>
        <v>75.25</v>
      </c>
      <c r="E23" s="35">
        <v>6.6150000000000002</v>
      </c>
      <c r="F23" s="35">
        <v>16.608000000000001</v>
      </c>
      <c r="G23" s="31">
        <f t="shared" si="2"/>
        <v>9.9930000000000003</v>
      </c>
      <c r="H23" s="35">
        <v>8.8800000000000008</v>
      </c>
      <c r="I23" s="35">
        <v>4.5430000000000001</v>
      </c>
      <c r="J23" s="35">
        <v>7.0999999999999994E-2</v>
      </c>
      <c r="K23" s="35">
        <v>0.51100000000000001</v>
      </c>
      <c r="L23" s="35">
        <v>5.0289999999999999</v>
      </c>
      <c r="M23" s="31">
        <f t="shared" si="3"/>
        <v>9.9952943669816516</v>
      </c>
      <c r="N23" s="35">
        <v>0.307</v>
      </c>
      <c r="O23" s="35">
        <v>10.129</v>
      </c>
      <c r="P23" s="31">
        <f t="shared" si="4"/>
        <v>32.99348534201954</v>
      </c>
      <c r="Q23" s="35">
        <v>3.5888399999999998</v>
      </c>
      <c r="R23" s="31">
        <f t="shared" si="5"/>
        <v>1.4758902380579482</v>
      </c>
      <c r="S23" s="35">
        <v>4.2689000000000004</v>
      </c>
      <c r="T23" s="31">
        <f t="shared" si="6"/>
        <v>2.3443057519398671</v>
      </c>
      <c r="U23" s="31">
        <f t="shared" si="7"/>
        <v>4.6425465296323588E-17</v>
      </c>
      <c r="V23" s="31">
        <f t="shared" si="8"/>
        <v>-16.333243734877076</v>
      </c>
      <c r="W23" s="31">
        <f t="shared" si="0"/>
        <v>3.5816031315229961E-17</v>
      </c>
      <c r="X23" s="31">
        <f t="shared" si="9"/>
        <v>-16.445922538905336</v>
      </c>
      <c r="Y23" s="31">
        <f t="shared" si="1"/>
        <v>1.1572107383294086</v>
      </c>
    </row>
    <row r="24" spans="1:25" x14ac:dyDescent="0.35">
      <c r="A24" s="35">
        <v>10</v>
      </c>
      <c r="B24" s="32">
        <v>43520</v>
      </c>
      <c r="C24" s="36">
        <v>0.65625</v>
      </c>
      <c r="D24" s="37">
        <f>D23+2.5</f>
        <v>77.75</v>
      </c>
      <c r="E24" s="35">
        <v>6.6340000000000003</v>
      </c>
      <c r="F24" s="35">
        <v>16.722999999999999</v>
      </c>
      <c r="G24" s="31">
        <f t="shared" si="2"/>
        <v>10.088999999999999</v>
      </c>
      <c r="H24" s="35">
        <v>8.8000000000000007</v>
      </c>
      <c r="I24" s="35">
        <v>4.7939999999999996</v>
      </c>
      <c r="J24" s="35">
        <v>8.4000000000000005E-2</v>
      </c>
      <c r="K24" s="35">
        <v>0.51900000000000002</v>
      </c>
      <c r="L24" s="35">
        <v>5.0469999999999997</v>
      </c>
      <c r="M24" s="31">
        <f t="shared" si="3"/>
        <v>9.8948613512555426</v>
      </c>
      <c r="N24" s="35">
        <v>0.50900000000000001</v>
      </c>
      <c r="O24" s="35">
        <v>10.33</v>
      </c>
      <c r="P24" s="31">
        <f t="shared" si="4"/>
        <v>20.294695481335953</v>
      </c>
      <c r="Q24" s="35">
        <v>3.5072000000000001</v>
      </c>
      <c r="R24" s="31">
        <f t="shared" si="5"/>
        <v>1.4278238111961916</v>
      </c>
      <c r="S24" s="35">
        <v>6.8868999999999998</v>
      </c>
      <c r="T24" s="31">
        <f t="shared" si="6"/>
        <v>2.3263571622904888</v>
      </c>
      <c r="U24" s="31">
        <f t="shared" si="7"/>
        <v>6.0705731990653809E-17</v>
      </c>
      <c r="V24" s="31">
        <f t="shared" si="8"/>
        <v>-16.216770299791609</v>
      </c>
      <c r="W24" s="31">
        <f t="shared" si="0"/>
        <v>3.9370981741333548E-17</v>
      </c>
      <c r="X24" s="31">
        <f t="shared" si="9"/>
        <v>-16.404823755656103</v>
      </c>
      <c r="Y24" s="31">
        <f t="shared" si="1"/>
        <v>0.97283190030708444</v>
      </c>
    </row>
    <row r="25" spans="1:25" x14ac:dyDescent="0.35">
      <c r="A25" s="31">
        <v>11</v>
      </c>
      <c r="B25" s="32">
        <v>43520</v>
      </c>
      <c r="C25" s="36">
        <v>0.76388888888888884</v>
      </c>
      <c r="D25" s="37">
        <f>D24+2.5+5/60</f>
        <v>80.333333333333329</v>
      </c>
      <c r="E25" s="35">
        <v>6.6349999999999998</v>
      </c>
      <c r="F25" s="35">
        <v>16.896000000000001</v>
      </c>
      <c r="G25" s="31">
        <f t="shared" si="2"/>
        <v>10.261000000000001</v>
      </c>
      <c r="H25" s="35">
        <v>8.66</v>
      </c>
      <c r="I25" s="35">
        <v>4.3789999999999996</v>
      </c>
      <c r="J25" s="35">
        <v>8.8999999999999996E-2</v>
      </c>
      <c r="K25" s="35">
        <v>0.52100000000000002</v>
      </c>
      <c r="L25" s="35">
        <v>5.0540000000000003</v>
      </c>
      <c r="M25" s="31">
        <f t="shared" si="3"/>
        <v>9.8977329857779619</v>
      </c>
      <c r="N25" s="35">
        <v>0.30599999999999999</v>
      </c>
      <c r="O25" s="35">
        <v>10.085000000000001</v>
      </c>
      <c r="P25" s="31">
        <f t="shared" si="4"/>
        <v>32.957516339869287</v>
      </c>
      <c r="Q25" s="35">
        <v>3.4623400000000002</v>
      </c>
      <c r="R25" s="31">
        <f t="shared" si="5"/>
        <v>1.4099698344364726</v>
      </c>
      <c r="S25" s="35">
        <v>4.1830999999999996</v>
      </c>
      <c r="T25" s="31">
        <f t="shared" si="6"/>
        <v>2.2946835319791479</v>
      </c>
      <c r="U25" s="31">
        <f t="shared" si="7"/>
        <v>6.6010048669246309E-17</v>
      </c>
      <c r="V25" s="31">
        <f t="shared" si="8"/>
        <v>-16.18038994704273</v>
      </c>
      <c r="W25" s="31">
        <f t="shared" si="0"/>
        <v>4.5644354065907749E-17</v>
      </c>
      <c r="X25" s="31">
        <f t="shared" si="9"/>
        <v>-16.340612934442145</v>
      </c>
      <c r="Y25" s="31">
        <f t="shared" si="1"/>
        <v>1.0372137648606188</v>
      </c>
    </row>
    <row r="26" spans="1:25" x14ac:dyDescent="0.35">
      <c r="A26" s="35">
        <v>12</v>
      </c>
      <c r="B26" s="32">
        <v>43521</v>
      </c>
      <c r="C26" s="36">
        <v>0.40625</v>
      </c>
      <c r="D26" s="37">
        <f>D15+4*24-15/60</f>
        <v>96.25</v>
      </c>
      <c r="E26" s="35">
        <v>6.62</v>
      </c>
      <c r="F26" s="35">
        <v>16.716000000000001</v>
      </c>
      <c r="G26" s="31">
        <f t="shared" si="2"/>
        <v>10.096</v>
      </c>
      <c r="H26" s="35">
        <v>8.67</v>
      </c>
      <c r="I26" s="35">
        <v>4.2519999999999998</v>
      </c>
      <c r="J26" s="35">
        <v>0.104</v>
      </c>
      <c r="K26" s="35">
        <v>0.51700000000000002</v>
      </c>
      <c r="L26" s="35">
        <v>5.0209999999999999</v>
      </c>
      <c r="M26" s="31">
        <f t="shared" si="3"/>
        <v>9.9493404855787517</v>
      </c>
      <c r="N26" s="35">
        <v>0.307</v>
      </c>
      <c r="O26" s="35">
        <v>10.055</v>
      </c>
      <c r="P26" s="31">
        <f t="shared" si="4"/>
        <v>32.752442996742673</v>
      </c>
      <c r="Q26" s="35">
        <v>3.44991</v>
      </c>
      <c r="R26" s="31">
        <f t="shared" si="5"/>
        <v>1.4122332538408966</v>
      </c>
      <c r="S26" s="35">
        <v>4.2838000000000003</v>
      </c>
      <c r="T26" s="31">
        <f t="shared" si="6"/>
        <v>2.3353015197977078</v>
      </c>
      <c r="U26" s="31">
        <f t="shared" si="7"/>
        <v>6.5337599418353201E-17</v>
      </c>
      <c r="V26" s="31">
        <f t="shared" si="8"/>
        <v>-16.184836826066807</v>
      </c>
      <c r="W26" s="31">
        <f t="shared" si="0"/>
        <v>3.7599436001381081E-17</v>
      </c>
      <c r="X26" s="31">
        <f t="shared" si="9"/>
        <v>-16.424818669522473</v>
      </c>
      <c r="Y26" s="31">
        <f t="shared" si="1"/>
        <v>0.86319599287618187</v>
      </c>
    </row>
    <row r="27" spans="1:25" x14ac:dyDescent="0.35">
      <c r="A27" s="31">
        <v>13</v>
      </c>
      <c r="B27" s="32">
        <v>43521</v>
      </c>
      <c r="C27" s="36">
        <v>0.57638888888888895</v>
      </c>
      <c r="D27" s="37">
        <f>D26+4-5/60</f>
        <v>100.16666666666667</v>
      </c>
      <c r="E27" s="35">
        <v>6.65</v>
      </c>
      <c r="F27" s="35">
        <v>16.763999999999999</v>
      </c>
      <c r="G27" s="31">
        <f t="shared" si="2"/>
        <v>10.113999999999999</v>
      </c>
      <c r="H27" s="35">
        <v>8.66</v>
      </c>
      <c r="I27" s="35">
        <v>3.956</v>
      </c>
      <c r="J27" s="35">
        <v>7.8E-2</v>
      </c>
      <c r="K27" s="35">
        <v>0.51400000000000001</v>
      </c>
      <c r="L27" s="35">
        <v>5.0309999999999997</v>
      </c>
      <c r="M27" s="31">
        <f t="shared" si="3"/>
        <v>9.9809253933344593</v>
      </c>
      <c r="N27" s="35">
        <v>0.30299999999999999</v>
      </c>
      <c r="O27" s="35">
        <v>10.039</v>
      </c>
      <c r="P27" s="31">
        <f t="shared" si="4"/>
        <v>33.132013201320134</v>
      </c>
      <c r="Q27" s="35">
        <v>3.4412500000000001</v>
      </c>
      <c r="R27" s="31">
        <f t="shared" si="5"/>
        <v>1.4131602349233578</v>
      </c>
      <c r="S27" s="35">
        <v>4.1852</v>
      </c>
      <c r="T27" s="31">
        <f t="shared" si="6"/>
        <v>2.3079910394501506</v>
      </c>
      <c r="U27" s="31">
        <f t="shared" si="7"/>
        <v>6.506219852125265E-17</v>
      </c>
      <c r="V27" s="31">
        <f t="shared" si="8"/>
        <v>-16.18667126553132</v>
      </c>
      <c r="W27" s="31">
        <f t="shared" si="0"/>
        <v>4.3008630018583716E-17</v>
      </c>
      <c r="X27" s="31">
        <f t="shared" si="9"/>
        <v>-16.366444391085651</v>
      </c>
      <c r="Y27" s="31">
        <f t="shared" si="1"/>
        <v>0.99155802438496354</v>
      </c>
    </row>
    <row r="28" spans="1:25" x14ac:dyDescent="0.35">
      <c r="A28" s="35">
        <v>14</v>
      </c>
      <c r="B28" s="32">
        <v>43521</v>
      </c>
      <c r="C28" s="36">
        <v>0.69791666666666663</v>
      </c>
      <c r="D28" s="37">
        <f>D27+3-5/60</f>
        <v>103.08333333333334</v>
      </c>
      <c r="E28" s="35">
        <v>6.524</v>
      </c>
      <c r="F28" s="35">
        <v>16</v>
      </c>
      <c r="G28" s="31">
        <f t="shared" si="2"/>
        <v>9.4759999999999991</v>
      </c>
      <c r="H28" s="35">
        <v>8.66</v>
      </c>
      <c r="I28" s="35">
        <v>4.2649999999999997</v>
      </c>
      <c r="J28" s="35">
        <v>8.7999999999999995E-2</v>
      </c>
      <c r="K28" s="35">
        <v>0.51300000000000001</v>
      </c>
      <c r="L28" s="35">
        <v>5.0110000000000001</v>
      </c>
      <c r="M28" s="31">
        <f t="shared" si="3"/>
        <v>9.9695755606288099</v>
      </c>
      <c r="N28" s="35">
        <v>0.309</v>
      </c>
      <c r="O28" s="35">
        <v>10.069000000000001</v>
      </c>
      <c r="P28" s="31">
        <f t="shared" si="4"/>
        <v>32.585760517799358</v>
      </c>
      <c r="Q28" s="35">
        <v>3.49525</v>
      </c>
      <c r="R28" s="31">
        <f t="shared" si="5"/>
        <v>1.4337033111823843</v>
      </c>
      <c r="S28" s="35">
        <v>4.3090999999999999</v>
      </c>
      <c r="T28" s="31">
        <f t="shared" si="6"/>
        <v>2.3371388256865715</v>
      </c>
      <c r="U28" s="31">
        <f t="shared" si="7"/>
        <v>5.8958965415438634E-17</v>
      </c>
      <c r="V28" s="31">
        <f t="shared" si="8"/>
        <v>-16.229450145880147</v>
      </c>
      <c r="W28" s="31">
        <f t="shared" si="0"/>
        <v>3.7235533796244609E-17</v>
      </c>
      <c r="X28" s="31">
        <f t="shared" si="9"/>
        <v>-16.429042415874545</v>
      </c>
      <c r="Y28" s="31">
        <f t="shared" si="1"/>
        <v>0.9473249793447277</v>
      </c>
    </row>
    <row r="29" spans="1:25" x14ac:dyDescent="0.35">
      <c r="A29" s="31">
        <v>15</v>
      </c>
      <c r="B29" s="32">
        <v>43521</v>
      </c>
      <c r="C29" s="36">
        <v>0.82986111111111116</v>
      </c>
      <c r="D29" s="37">
        <f>D28+3+10/60</f>
        <v>106.25000000000001</v>
      </c>
      <c r="E29" s="35"/>
      <c r="F29" s="35"/>
      <c r="G29" s="31">
        <f t="shared" si="2"/>
        <v>0</v>
      </c>
      <c r="H29" s="35">
        <v>8.23</v>
      </c>
      <c r="I29" s="39">
        <v>5.8239999999999998</v>
      </c>
      <c r="J29" s="35">
        <v>8.5999999999999993E-2</v>
      </c>
      <c r="K29" s="35">
        <v>0.51300000000000001</v>
      </c>
      <c r="L29" s="35">
        <v>5.0119999999999996</v>
      </c>
      <c r="M29" s="31">
        <f t="shared" si="3"/>
        <v>9.9142487629329725</v>
      </c>
      <c r="N29" s="35">
        <v>0.30499999999999999</v>
      </c>
      <c r="O29" s="35">
        <v>10.034000000000001</v>
      </c>
      <c r="P29" s="31">
        <f t="shared" si="4"/>
        <v>32.898360655737704</v>
      </c>
      <c r="Q29" s="35">
        <v>3.4806599999999999</v>
      </c>
      <c r="R29" s="31">
        <f t="shared" si="5"/>
        <v>1.419795478263332</v>
      </c>
      <c r="S29" s="35">
        <v>4.3030999999999997</v>
      </c>
      <c r="T29" s="31">
        <f t="shared" si="6"/>
        <v>2.3562738970989496</v>
      </c>
      <c r="U29" s="31">
        <f t="shared" si="7"/>
        <v>6.3090904820784179E-17</v>
      </c>
      <c r="V29" s="31">
        <f t="shared" si="8"/>
        <v>-16.20003324409733</v>
      </c>
      <c r="W29" s="31">
        <f t="shared" si="0"/>
        <v>3.3445585304480391E-17</v>
      </c>
      <c r="X29" s="31">
        <f t="shared" si="9"/>
        <v>-16.475661199403923</v>
      </c>
      <c r="Y29" s="31">
        <f t="shared" si="1"/>
        <v>0.7951760733061084</v>
      </c>
    </row>
    <row r="33" spans="1:17" ht="15" thickBot="1" x14ac:dyDescent="0.4"/>
    <row r="34" spans="1:17" x14ac:dyDescent="0.35">
      <c r="A34" s="11" t="s">
        <v>8</v>
      </c>
      <c r="B34" s="12"/>
      <c r="C34" s="12"/>
      <c r="D34" s="12"/>
      <c r="E34" s="13" t="s">
        <v>9</v>
      </c>
      <c r="F34" s="14"/>
      <c r="G34" s="14"/>
      <c r="H34" s="15" t="s">
        <v>10</v>
      </c>
      <c r="I34" s="15"/>
      <c r="J34" s="15"/>
      <c r="K34" s="16" t="s">
        <v>10</v>
      </c>
      <c r="L34" s="16"/>
      <c r="M34" s="16"/>
      <c r="N34" s="17" t="s">
        <v>11</v>
      </c>
      <c r="O34" s="18"/>
      <c r="P34" s="18"/>
      <c r="Q34" s="40"/>
    </row>
    <row r="35" spans="1:17" ht="15" thickBot="1" x14ac:dyDescent="0.4">
      <c r="A35" s="22" t="s">
        <v>13</v>
      </c>
      <c r="B35" s="23" t="s">
        <v>14</v>
      </c>
      <c r="C35" s="23" t="s">
        <v>15</v>
      </c>
      <c r="D35" s="23" t="s">
        <v>16</v>
      </c>
      <c r="E35" s="24" t="s">
        <v>20</v>
      </c>
      <c r="F35" s="24" t="s">
        <v>21</v>
      </c>
      <c r="G35" s="24" t="s">
        <v>22</v>
      </c>
      <c r="H35" s="25" t="s">
        <v>21</v>
      </c>
      <c r="I35" s="25" t="s">
        <v>23</v>
      </c>
      <c r="J35" s="25" t="s">
        <v>24</v>
      </c>
      <c r="K35" s="26" t="s">
        <v>25</v>
      </c>
      <c r="L35" s="26" t="s">
        <v>26</v>
      </c>
      <c r="M35" s="26" t="s">
        <v>27</v>
      </c>
      <c r="N35" s="27" t="s">
        <v>28</v>
      </c>
      <c r="O35" s="27" t="s">
        <v>29</v>
      </c>
      <c r="P35" s="27" t="s">
        <v>30</v>
      </c>
      <c r="Q35" s="41" t="s">
        <v>31</v>
      </c>
    </row>
    <row r="36" spans="1:17" x14ac:dyDescent="0.35">
      <c r="A36" s="31">
        <v>1</v>
      </c>
      <c r="B36" s="32">
        <v>43517</v>
      </c>
      <c r="C36" s="33">
        <v>0.43055555555555558</v>
      </c>
      <c r="D36" s="34">
        <v>0</v>
      </c>
      <c r="E36" s="31">
        <v>9.34</v>
      </c>
      <c r="F36" s="31">
        <v>5.35</v>
      </c>
      <c r="G36" s="31">
        <v>9.4E-2</v>
      </c>
      <c r="H36" s="31">
        <v>0.504</v>
      </c>
      <c r="I36" s="31">
        <v>4.984</v>
      </c>
      <c r="J36" s="31">
        <f>((F36+G36)/F36)*(I36/H36)</f>
        <v>10.06263759086189</v>
      </c>
      <c r="K36" s="31">
        <v>0.312</v>
      </c>
      <c r="L36" s="31">
        <v>10.086</v>
      </c>
      <c r="M36" s="31">
        <f>L36/K36</f>
        <v>32.32692307692308</v>
      </c>
      <c r="N36" s="31">
        <v>3.9422600000000001</v>
      </c>
      <c r="O36" s="31">
        <f>N36/24.305*J36</f>
        <v>1.6321552630714335</v>
      </c>
      <c r="P36" s="31">
        <v>4.6929999999999996</v>
      </c>
      <c r="Q36" s="31">
        <f>P36/60.08*M36</f>
        <v>2.525137316910786</v>
      </c>
    </row>
    <row r="37" spans="1:17" x14ac:dyDescent="0.35">
      <c r="A37" s="35">
        <v>2</v>
      </c>
      <c r="B37" s="38">
        <v>43519</v>
      </c>
      <c r="C37" s="36">
        <v>0.60416666666666663</v>
      </c>
      <c r="D37" s="37">
        <f>D36+2*24+4+10/60</f>
        <v>52.166666666666664</v>
      </c>
      <c r="E37" s="35">
        <v>9.36</v>
      </c>
      <c r="F37" s="35">
        <v>3.3620000000000001</v>
      </c>
      <c r="G37" s="35">
        <v>9.8000000000000004E-2</v>
      </c>
      <c r="H37" s="35">
        <v>0.51200000000000001</v>
      </c>
      <c r="I37" s="35">
        <v>5.05</v>
      </c>
      <c r="J37" s="31">
        <f t="shared" ref="J37:J39" si="10">((F37+G37)/F37)*(I37/H37)</f>
        <v>10.150789150803092</v>
      </c>
      <c r="K37" s="35">
        <v>0.308</v>
      </c>
      <c r="L37" s="35">
        <v>10.065</v>
      </c>
      <c r="M37" s="31">
        <f t="shared" ref="M37:M39" si="11">L37/K37</f>
        <v>32.678571428571431</v>
      </c>
      <c r="N37" s="35">
        <v>3.92611</v>
      </c>
      <c r="O37" s="31">
        <f t="shared" ref="O37:O39" si="12">N37/24.305*J37</f>
        <v>1.639708487671653</v>
      </c>
      <c r="P37" s="35">
        <v>4.5942999999999996</v>
      </c>
      <c r="Q37" s="31">
        <f t="shared" ref="Q37:Q39" si="13">P37/60.08*M37</f>
        <v>2.4989207841925052</v>
      </c>
    </row>
    <row r="38" spans="1:17" x14ac:dyDescent="0.35">
      <c r="A38" s="31">
        <v>3</v>
      </c>
      <c r="B38" s="32">
        <v>43520</v>
      </c>
      <c r="C38" s="33">
        <v>0.57291666666666663</v>
      </c>
      <c r="D38" s="34">
        <f>D37+24-45/60</f>
        <v>75.416666666666657</v>
      </c>
      <c r="E38" s="31">
        <v>9.1999999999999993</v>
      </c>
      <c r="F38" s="31">
        <v>4.9870000000000001</v>
      </c>
      <c r="G38" s="31">
        <v>8.1000000000000003E-2</v>
      </c>
      <c r="H38" s="31">
        <v>0.51</v>
      </c>
      <c r="I38" s="31">
        <v>5.0330000000000004</v>
      </c>
      <c r="J38" s="31">
        <f t="shared" si="10"/>
        <v>10.028915965824872</v>
      </c>
      <c r="K38" s="31">
        <v>0.308</v>
      </c>
      <c r="L38" s="31">
        <v>10.005000000000001</v>
      </c>
      <c r="M38" s="31">
        <f t="shared" si="11"/>
        <v>32.483766233766239</v>
      </c>
      <c r="N38" s="35">
        <v>3.9142800000000002</v>
      </c>
      <c r="O38" s="31">
        <f t="shared" si="12"/>
        <v>1.6151403080316387</v>
      </c>
      <c r="P38" s="35">
        <v>4.625</v>
      </c>
      <c r="Q38" s="31">
        <f t="shared" si="13"/>
        <v>2.5006228167637961</v>
      </c>
    </row>
    <row r="39" spans="1:17" x14ac:dyDescent="0.35">
      <c r="A39" s="35">
        <v>4</v>
      </c>
      <c r="B39" s="38">
        <v>43521</v>
      </c>
      <c r="C39" s="36">
        <v>0.63541666666666663</v>
      </c>
      <c r="D39" s="37">
        <f>D38+24+1.5</f>
        <v>100.91666666666666</v>
      </c>
      <c r="E39" s="35">
        <v>9.06</v>
      </c>
      <c r="F39" s="35">
        <v>5.9</v>
      </c>
      <c r="G39" s="35">
        <v>9.1999999999999998E-2</v>
      </c>
      <c r="H39" s="35">
        <v>0.50900000000000001</v>
      </c>
      <c r="I39" s="35">
        <v>5.0140000000000002</v>
      </c>
      <c r="J39" s="31">
        <f t="shared" si="10"/>
        <v>10.004291565382438</v>
      </c>
      <c r="K39" s="35">
        <v>0.30599999999999999</v>
      </c>
      <c r="L39" s="35">
        <v>10.069000000000001</v>
      </c>
      <c r="M39" s="31">
        <f t="shared" si="11"/>
        <v>32.90522875816994</v>
      </c>
      <c r="N39" s="35">
        <v>3.8783400000000001</v>
      </c>
      <c r="O39" s="31">
        <f t="shared" si="12"/>
        <v>1.5963811622993345</v>
      </c>
      <c r="P39" s="35">
        <v>4.5602999999999998</v>
      </c>
      <c r="Q39" s="31">
        <f t="shared" si="13"/>
        <v>2.4976317361165505</v>
      </c>
    </row>
    <row r="41" spans="1:17" x14ac:dyDescent="0.35">
      <c r="E41" s="42"/>
    </row>
    <row r="43" spans="1:17" ht="18.5" x14ac:dyDescent="0.45">
      <c r="A43" s="1" t="s">
        <v>42</v>
      </c>
    </row>
    <row r="44" spans="1:17" x14ac:dyDescent="0.35">
      <c r="A44" s="2" t="s">
        <v>0</v>
      </c>
      <c r="C44" s="3">
        <v>0.42708333333333331</v>
      </c>
    </row>
    <row r="45" spans="1:17" x14ac:dyDescent="0.35">
      <c r="A45" s="2" t="s">
        <v>1</v>
      </c>
      <c r="C45">
        <v>119.21</v>
      </c>
    </row>
    <row r="46" spans="1:17" x14ac:dyDescent="0.35">
      <c r="A46" s="2" t="s">
        <v>2</v>
      </c>
    </row>
    <row r="47" spans="1:17" x14ac:dyDescent="0.35">
      <c r="A47" s="2" t="s">
        <v>3</v>
      </c>
      <c r="C47">
        <f>(9.038+1.016)-9.073</f>
        <v>0.98099999999999987</v>
      </c>
    </row>
    <row r="48" spans="1:17" x14ac:dyDescent="0.35">
      <c r="A48" s="2" t="s">
        <v>4</v>
      </c>
      <c r="C48">
        <f>AVERAGE(G65:G69)/(60*60)</f>
        <v>2.8611666666666668E-3</v>
      </c>
    </row>
    <row r="49" spans="1:25" ht="15" thickBot="1" x14ac:dyDescent="0.4">
      <c r="A49" s="2" t="s">
        <v>5</v>
      </c>
      <c r="C49">
        <v>2414000</v>
      </c>
    </row>
    <row r="50" spans="1:25" x14ac:dyDescent="0.35">
      <c r="A50" s="4" t="s">
        <v>6</v>
      </c>
      <c r="B50" s="5"/>
      <c r="C50" s="6">
        <f>AVERAGE(V70:V71)</f>
        <v>-16.305207886627343</v>
      </c>
    </row>
    <row r="51" spans="1:25" ht="15" thickBot="1" x14ac:dyDescent="0.4">
      <c r="A51" s="7" t="s">
        <v>7</v>
      </c>
      <c r="B51" s="8"/>
      <c r="C51" s="9">
        <f>AVERAGE(X68:X70)</f>
        <v>-16.345502188723064</v>
      </c>
    </row>
    <row r="52" spans="1:25" x14ac:dyDescent="0.35">
      <c r="A52" s="2"/>
    </row>
    <row r="53" spans="1:25" ht="15" thickBot="1" x14ac:dyDescent="0.4"/>
    <row r="54" spans="1:25" x14ac:dyDescent="0.35">
      <c r="A54" s="11" t="s">
        <v>8</v>
      </c>
      <c r="B54" s="12"/>
      <c r="C54" s="12"/>
      <c r="D54" s="12"/>
      <c r="E54" s="13" t="s">
        <v>9</v>
      </c>
      <c r="F54" s="13"/>
      <c r="G54" s="13"/>
      <c r="H54" s="14"/>
      <c r="I54" s="14"/>
      <c r="J54" s="14"/>
      <c r="K54" s="15" t="s">
        <v>10</v>
      </c>
      <c r="L54" s="15"/>
      <c r="M54" s="15"/>
      <c r="N54" s="16" t="s">
        <v>10</v>
      </c>
      <c r="O54" s="16"/>
      <c r="P54" s="16"/>
      <c r="Q54" s="17" t="s">
        <v>11</v>
      </c>
      <c r="R54" s="18"/>
      <c r="S54" s="18"/>
      <c r="T54" s="18"/>
      <c r="U54" s="19" t="s">
        <v>12</v>
      </c>
      <c r="V54" s="20"/>
      <c r="W54" s="20"/>
      <c r="X54" s="20"/>
      <c r="Y54" s="21"/>
    </row>
    <row r="55" spans="1:25" ht="15" thickBot="1" x14ac:dyDescent="0.4">
      <c r="A55" s="22" t="s">
        <v>13</v>
      </c>
      <c r="B55" s="23" t="s">
        <v>14</v>
      </c>
      <c r="C55" s="23" t="s">
        <v>15</v>
      </c>
      <c r="D55" s="23" t="s">
        <v>16</v>
      </c>
      <c r="E55" s="24" t="s">
        <v>17</v>
      </c>
      <c r="F55" s="24" t="s">
        <v>18</v>
      </c>
      <c r="G55" s="24" t="s">
        <v>19</v>
      </c>
      <c r="H55" s="24" t="s">
        <v>20</v>
      </c>
      <c r="I55" s="24" t="s">
        <v>21</v>
      </c>
      <c r="J55" s="24" t="s">
        <v>22</v>
      </c>
      <c r="K55" s="25" t="s">
        <v>21</v>
      </c>
      <c r="L55" s="25" t="s">
        <v>23</v>
      </c>
      <c r="M55" s="25" t="s">
        <v>24</v>
      </c>
      <c r="N55" s="26" t="s">
        <v>25</v>
      </c>
      <c r="O55" s="26" t="s">
        <v>26</v>
      </c>
      <c r="P55" s="26" t="s">
        <v>27</v>
      </c>
      <c r="Q55" s="27" t="s">
        <v>28</v>
      </c>
      <c r="R55" s="27" t="s">
        <v>29</v>
      </c>
      <c r="S55" s="27" t="s">
        <v>30</v>
      </c>
      <c r="T55" s="27" t="s">
        <v>31</v>
      </c>
      <c r="U55" s="29" t="s">
        <v>32</v>
      </c>
      <c r="V55" s="29" t="s">
        <v>33</v>
      </c>
      <c r="W55" s="29" t="s">
        <v>34</v>
      </c>
      <c r="X55" s="29" t="s">
        <v>35</v>
      </c>
      <c r="Y55" s="30" t="s">
        <v>36</v>
      </c>
    </row>
    <row r="56" spans="1:25" x14ac:dyDescent="0.35">
      <c r="A56" s="31">
        <v>1</v>
      </c>
      <c r="B56" s="32">
        <v>43517</v>
      </c>
      <c r="C56" s="33">
        <v>0.4375</v>
      </c>
      <c r="D56" s="34">
        <v>0.5</v>
      </c>
      <c r="E56" s="31">
        <v>6.758</v>
      </c>
      <c r="F56" s="31">
        <v>17.649000000000001</v>
      </c>
      <c r="G56" s="31">
        <f>F56-E56</f>
        <v>10.891000000000002</v>
      </c>
      <c r="H56" s="31">
        <v>9.17</v>
      </c>
      <c r="I56" s="31">
        <v>4.9720000000000004</v>
      </c>
      <c r="J56" s="31">
        <v>8.6999999999999994E-2</v>
      </c>
      <c r="K56" s="31">
        <v>0.51900000000000002</v>
      </c>
      <c r="L56" s="31">
        <v>5.0279999999999996</v>
      </c>
      <c r="M56" s="31">
        <f>((I56+J56)/I56)*(L56/K56)</f>
        <v>9.8573793590929988</v>
      </c>
      <c r="N56" s="31">
        <v>0.307</v>
      </c>
      <c r="O56" s="31">
        <v>9.8989999999999991</v>
      </c>
      <c r="P56" s="31">
        <f>O56/N56</f>
        <v>32.244299674267097</v>
      </c>
      <c r="Q56" s="31">
        <v>3.6844399999999999</v>
      </c>
      <c r="R56" s="31">
        <f>Q56/24.305*M56</f>
        <v>1.4942984079743513</v>
      </c>
      <c r="S56" s="31">
        <v>4.6913999999999998</v>
      </c>
      <c r="T56" s="31">
        <f>S56/60.08*P56</f>
        <v>2.5178246919416885</v>
      </c>
      <c r="U56" s="31">
        <f>((($O$36-R56)*10^(-6))*$C$48)/($C$49*$C$47*4)</f>
        <v>4.1639476331920887E-17</v>
      </c>
      <c r="V56" s="31">
        <f>LOG(U56)</f>
        <v>-16.380494740919119</v>
      </c>
      <c r="W56" s="31">
        <f>((($Q$36-T56)*10^(-6))*$C$48)/($C$49*$C$47*6)</f>
        <v>1.4725123104954036E-18</v>
      </c>
      <c r="X56" s="31">
        <f>LOG(W56)</f>
        <v>-17.831941065737549</v>
      </c>
      <c r="Y56" s="31">
        <f>($Q$36-T56)/($O$36-R56)</f>
        <v>5.3045058687490272E-2</v>
      </c>
    </row>
    <row r="57" spans="1:25" x14ac:dyDescent="0.35">
      <c r="A57" s="35">
        <v>2</v>
      </c>
      <c r="B57" s="32">
        <v>43517</v>
      </c>
      <c r="C57" s="36">
        <v>0.5625</v>
      </c>
      <c r="D57" s="37">
        <f>D56+3</f>
        <v>3.5</v>
      </c>
      <c r="E57" s="35">
        <v>6.5609999999999999</v>
      </c>
      <c r="F57" s="35">
        <v>17.116</v>
      </c>
      <c r="G57" s="31">
        <f t="shared" ref="G57:G70" si="14">F57-E57</f>
        <v>10.555</v>
      </c>
      <c r="H57" s="35">
        <v>8.99</v>
      </c>
      <c r="I57" s="35">
        <v>4.8150000000000004</v>
      </c>
      <c r="J57" s="35">
        <v>8.8999999999999996E-2</v>
      </c>
      <c r="K57" s="35">
        <v>0.52200000000000002</v>
      </c>
      <c r="L57" s="35">
        <v>5.05</v>
      </c>
      <c r="M57" s="31">
        <f t="shared" ref="M57:M70" si="15">((I57+J57)/I57)*(L57/K57)</f>
        <v>9.8531488841941091</v>
      </c>
      <c r="N57" s="35">
        <v>0.312</v>
      </c>
      <c r="O57" s="35">
        <v>10.036</v>
      </c>
      <c r="P57" s="31">
        <f t="shared" ref="P57:P70" si="16">O57/N57</f>
        <v>32.166666666666664</v>
      </c>
      <c r="Q57" s="35">
        <v>3.88876</v>
      </c>
      <c r="R57" s="31">
        <f t="shared" ref="R57:R70" si="17">Q57/24.305*M57</f>
        <v>1.5764876056325319</v>
      </c>
      <c r="S57" s="35">
        <v>4.5529999999999999</v>
      </c>
      <c r="T57" s="31">
        <f t="shared" ref="T57:T70" si="18">S57/60.08*P57</f>
        <v>2.4376636706613404</v>
      </c>
      <c r="U57" s="31">
        <f t="shared" ref="U57:U70" si="19">((($O$36-R57)*10^(-6))*$C$48)/($C$49*$C$47*4)</f>
        <v>1.6814340518273483E-17</v>
      </c>
      <c r="V57" s="31">
        <f t="shared" ref="V57:V70" si="20">LOG(U57)</f>
        <v>-16.774320161646482</v>
      </c>
      <c r="W57" s="31">
        <f t="shared" ref="W57:W70" si="21">((($Q$36-T57)*10^(-6))*$C$48)/($C$49*$C$47*6)</f>
        <v>1.761419756798008E-17</v>
      </c>
      <c r="X57" s="31">
        <f t="shared" ref="X57:X70" si="22">LOG(W57)</f>
        <v>-16.754137136742528</v>
      </c>
      <c r="Y57" s="31">
        <f>($Q$36-T57)/($O$36-R57)</f>
        <v>1.5713548993049116</v>
      </c>
    </row>
    <row r="58" spans="1:25" x14ac:dyDescent="0.35">
      <c r="A58" s="31">
        <v>3</v>
      </c>
      <c r="B58" s="38">
        <v>43517</v>
      </c>
      <c r="C58" s="36">
        <v>0.6875</v>
      </c>
      <c r="D58" s="37">
        <f>D57+3</f>
        <v>6.5</v>
      </c>
      <c r="E58" s="35">
        <v>6.6</v>
      </c>
      <c r="F58" s="35">
        <v>16.395</v>
      </c>
      <c r="G58" s="31">
        <f t="shared" si="14"/>
        <v>9.7949999999999999</v>
      </c>
      <c r="H58" s="35">
        <v>9.01</v>
      </c>
      <c r="I58" s="35">
        <v>4.0350000000000001</v>
      </c>
      <c r="J58" s="35">
        <v>8.8999999999999996E-2</v>
      </c>
      <c r="K58" s="35">
        <v>0.51900000000000002</v>
      </c>
      <c r="L58" s="35">
        <v>5.0389999999999997</v>
      </c>
      <c r="M58" s="31">
        <f t="shared" si="15"/>
        <v>9.9232085341890439</v>
      </c>
      <c r="N58" s="35">
        <v>0.307</v>
      </c>
      <c r="O58" s="35">
        <v>10.007</v>
      </c>
      <c r="P58" s="31">
        <f t="shared" si="16"/>
        <v>32.596091205211728</v>
      </c>
      <c r="Q58" s="35">
        <v>3.5007600000000001</v>
      </c>
      <c r="R58" s="31">
        <f t="shared" si="17"/>
        <v>1.4292849828491108</v>
      </c>
      <c r="S58" s="35">
        <v>4.4077000000000002</v>
      </c>
      <c r="T58" s="31">
        <f t="shared" si="18"/>
        <v>2.3913746871706345</v>
      </c>
      <c r="U58" s="31">
        <f t="shared" si="19"/>
        <v>6.1276693319448566E-17</v>
      </c>
      <c r="V58" s="31">
        <f t="shared" si="20"/>
        <v>-16.212704678621272</v>
      </c>
      <c r="W58" s="31">
        <f t="shared" si="21"/>
        <v>2.6935214072781701E-17</v>
      </c>
      <c r="X58" s="31">
        <f t="shared" si="22"/>
        <v>-16.569679568465592</v>
      </c>
      <c r="Y58" s="31">
        <f t="shared" ref="Y58:Y70" si="23">($Q$36-T58)/($O$36-R58)</f>
        <v>0.65935054456257891</v>
      </c>
    </row>
    <row r="59" spans="1:25" x14ac:dyDescent="0.35">
      <c r="A59" s="35">
        <v>4</v>
      </c>
      <c r="B59" s="32">
        <v>43517</v>
      </c>
      <c r="C59" s="36">
        <v>0.8125</v>
      </c>
      <c r="D59" s="37">
        <f>D58+3</f>
        <v>9.5</v>
      </c>
      <c r="E59" s="35">
        <v>6.5190000000000001</v>
      </c>
      <c r="F59" s="35">
        <v>17.073</v>
      </c>
      <c r="G59" s="31">
        <f t="shared" si="14"/>
        <v>10.554</v>
      </c>
      <c r="H59" s="35">
        <v>8.5399999999999991</v>
      </c>
      <c r="I59" s="35">
        <v>4.7220000000000004</v>
      </c>
      <c r="J59" s="35">
        <v>9.1999999999999998E-2</v>
      </c>
      <c r="K59" s="35">
        <v>0.51800000000000002</v>
      </c>
      <c r="L59" s="35">
        <v>5.0439999999999996</v>
      </c>
      <c r="M59" s="31">
        <f t="shared" si="15"/>
        <v>9.9271691368260608</v>
      </c>
      <c r="N59" s="35">
        <v>0.313</v>
      </c>
      <c r="O59" s="35">
        <v>9.9730000000000008</v>
      </c>
      <c r="P59" s="31">
        <f t="shared" si="16"/>
        <v>31.862619808306711</v>
      </c>
      <c r="Q59" s="35">
        <v>3.3380700000000001</v>
      </c>
      <c r="R59" s="31">
        <f t="shared" si="17"/>
        <v>1.3634061090543086</v>
      </c>
      <c r="S59" s="35">
        <v>4.4572000000000003</v>
      </c>
      <c r="T59" s="31">
        <f t="shared" si="18"/>
        <v>2.3638160620769755</v>
      </c>
      <c r="U59" s="31">
        <f t="shared" si="19"/>
        <v>8.1175317905222452E-17</v>
      </c>
      <c r="V59" s="31">
        <f t="shared" si="20"/>
        <v>-16.090576001880112</v>
      </c>
      <c r="W59" s="31">
        <f t="shared" si="21"/>
        <v>3.2484577657298792E-17</v>
      </c>
      <c r="X59" s="31">
        <f t="shared" si="22"/>
        <v>-16.488322775267612</v>
      </c>
      <c r="Y59" s="31">
        <f t="shared" si="23"/>
        <v>0.60026702381184427</v>
      </c>
    </row>
    <row r="60" spans="1:25" x14ac:dyDescent="0.35">
      <c r="A60" s="35">
        <v>5</v>
      </c>
      <c r="B60" s="32">
        <v>43518</v>
      </c>
      <c r="C60" s="36">
        <v>0.5625</v>
      </c>
      <c r="D60" s="37">
        <f>D57+24</f>
        <v>27.5</v>
      </c>
      <c r="E60" s="35"/>
      <c r="F60" s="35">
        <v>17.335000000000001</v>
      </c>
      <c r="G60" s="31">
        <f t="shared" si="14"/>
        <v>17.335000000000001</v>
      </c>
      <c r="H60" s="35">
        <v>8.5500000000000007</v>
      </c>
      <c r="I60" s="35">
        <v>4.6639999999999997</v>
      </c>
      <c r="J60" s="35">
        <v>9.7000000000000003E-2</v>
      </c>
      <c r="K60" s="35">
        <v>0.51700000000000002</v>
      </c>
      <c r="L60" s="35">
        <v>5.0030000000000001</v>
      </c>
      <c r="M60" s="31">
        <f t="shared" si="15"/>
        <v>9.878240591750135</v>
      </c>
      <c r="N60" s="35">
        <v>0.31</v>
      </c>
      <c r="O60" s="35">
        <v>10.042999999999999</v>
      </c>
      <c r="P60" s="31">
        <f t="shared" si="16"/>
        <v>32.396774193548382</v>
      </c>
      <c r="Q60" s="35">
        <v>3.53077</v>
      </c>
      <c r="R60" s="31">
        <f t="shared" si="17"/>
        <v>1.4350049592319944</v>
      </c>
      <c r="S60" s="35">
        <v>4.3125999999999998</v>
      </c>
      <c r="T60" s="31">
        <f t="shared" si="18"/>
        <v>2.3254715111034745</v>
      </c>
      <c r="U60" s="31">
        <f t="shared" si="19"/>
        <v>5.9548982201662641E-17</v>
      </c>
      <c r="V60" s="31">
        <f t="shared" si="20"/>
        <v>-16.225125656985217</v>
      </c>
      <c r="W60" s="31">
        <f t="shared" si="21"/>
        <v>4.0205857442260421E-17</v>
      </c>
      <c r="X60" s="31">
        <f t="shared" si="22"/>
        <v>-16.395710671553829</v>
      </c>
      <c r="Y60" s="31">
        <f t="shared" si="23"/>
        <v>1.0127593106319586</v>
      </c>
    </row>
    <row r="61" spans="1:25" x14ac:dyDescent="0.35">
      <c r="A61" s="31">
        <v>6</v>
      </c>
      <c r="B61" s="32">
        <v>43519</v>
      </c>
      <c r="C61" s="36">
        <v>0.57291666666666663</v>
      </c>
      <c r="D61" s="37">
        <f>D60+24+15/60</f>
        <v>51.75</v>
      </c>
      <c r="E61" s="35">
        <v>6.5839999999999996</v>
      </c>
      <c r="F61" s="35"/>
      <c r="G61" s="31">
        <f t="shared" si="14"/>
        <v>-6.5839999999999996</v>
      </c>
      <c r="H61" s="35">
        <v>8.8800000000000008</v>
      </c>
      <c r="I61" s="35">
        <v>5.1280000000000001</v>
      </c>
      <c r="J61" s="35">
        <v>9.5000000000000001E-2</v>
      </c>
      <c r="K61" s="35">
        <v>0.51700000000000002</v>
      </c>
      <c r="L61" s="35">
        <v>5.0369999999999999</v>
      </c>
      <c r="M61" s="31">
        <f t="shared" si="15"/>
        <v>9.9232382157955552</v>
      </c>
      <c r="N61" s="35">
        <v>0.30399999999999999</v>
      </c>
      <c r="O61" s="35">
        <v>10.026999999999999</v>
      </c>
      <c r="P61" s="31">
        <f t="shared" si="16"/>
        <v>32.983552631578945</v>
      </c>
      <c r="Q61" s="35">
        <v>3.57585</v>
      </c>
      <c r="R61" s="31">
        <f t="shared" si="17"/>
        <v>1.4599469810307566</v>
      </c>
      <c r="S61" s="35">
        <v>4.2419000000000002</v>
      </c>
      <c r="T61" s="31">
        <f t="shared" si="18"/>
        <v>2.3287771622485809</v>
      </c>
      <c r="U61" s="31">
        <f t="shared" si="19"/>
        <v>5.2015278305484077E-17</v>
      </c>
      <c r="V61" s="31">
        <f t="shared" si="20"/>
        <v>-16.283869073496216</v>
      </c>
      <c r="W61" s="31">
        <f t="shared" si="21"/>
        <v>3.954021247537884E-17</v>
      </c>
      <c r="X61" s="31">
        <f t="shared" si="22"/>
        <v>-16.40296100126826</v>
      </c>
      <c r="Y61" s="31">
        <f t="shared" si="23"/>
        <v>1.14024803183289</v>
      </c>
    </row>
    <row r="62" spans="1:25" x14ac:dyDescent="0.35">
      <c r="A62" s="35">
        <v>7</v>
      </c>
      <c r="B62" s="32">
        <v>43519</v>
      </c>
      <c r="C62" s="36">
        <v>0.67708333333333337</v>
      </c>
      <c r="D62" s="37">
        <f>D61+2.5</f>
        <v>54.25</v>
      </c>
      <c r="E62" s="35">
        <v>6.6109999999999998</v>
      </c>
      <c r="F62" s="35">
        <v>16.997</v>
      </c>
      <c r="G62" s="31">
        <f t="shared" si="14"/>
        <v>10.385999999999999</v>
      </c>
      <c r="H62" s="35">
        <v>8.66</v>
      </c>
      <c r="I62" s="35">
        <v>4.0810000000000004</v>
      </c>
      <c r="J62" s="35">
        <v>7.9000000000000001E-2</v>
      </c>
      <c r="K62" s="35">
        <v>0.51100000000000001</v>
      </c>
      <c r="L62" s="35">
        <v>5.0279999999999996</v>
      </c>
      <c r="M62" s="31">
        <f t="shared" si="15"/>
        <v>10.030003965683173</v>
      </c>
      <c r="N62" s="35">
        <v>0.309</v>
      </c>
      <c r="O62" s="35">
        <v>10.044</v>
      </c>
      <c r="P62" s="31">
        <f t="shared" si="16"/>
        <v>32.504854368932044</v>
      </c>
      <c r="Q62" s="35">
        <v>3.3816600000000001</v>
      </c>
      <c r="R62" s="31">
        <f t="shared" si="17"/>
        <v>1.3955179267884041</v>
      </c>
      <c r="S62" s="35">
        <v>4.2760999999999996</v>
      </c>
      <c r="T62" s="31">
        <f t="shared" si="18"/>
        <v>2.313482153245511</v>
      </c>
      <c r="U62" s="31">
        <f t="shared" si="19"/>
        <v>7.1475986859463446E-17</v>
      </c>
      <c r="V62" s="31">
        <f t="shared" si="20"/>
        <v>-16.14583983968231</v>
      </c>
      <c r="W62" s="31">
        <f t="shared" si="21"/>
        <v>4.2620103641866191E-17</v>
      </c>
      <c r="X62" s="31">
        <f t="shared" si="22"/>
        <v>-16.370385498520552</v>
      </c>
      <c r="Y62" s="31">
        <f t="shared" si="23"/>
        <v>0.89442844054044579</v>
      </c>
    </row>
    <row r="63" spans="1:25" x14ac:dyDescent="0.35">
      <c r="A63" s="35">
        <v>8</v>
      </c>
      <c r="B63" s="32">
        <v>43519</v>
      </c>
      <c r="C63" s="36">
        <v>0.78472222222222221</v>
      </c>
      <c r="D63" s="37">
        <f>D62+2.5+5/60</f>
        <v>56.833333333333336</v>
      </c>
      <c r="E63" s="35">
        <v>6.6289999999999996</v>
      </c>
      <c r="F63" s="35">
        <v>17.042999999999999</v>
      </c>
      <c r="G63" s="31">
        <f t="shared" si="14"/>
        <v>10.414</v>
      </c>
      <c r="H63" s="35">
        <v>8.59</v>
      </c>
      <c r="I63" s="35">
        <v>4.6310000000000002</v>
      </c>
      <c r="J63" s="35">
        <v>8.8999999999999996E-2</v>
      </c>
      <c r="K63" s="35">
        <v>0.51100000000000001</v>
      </c>
      <c r="L63" s="35">
        <v>5.0519999999999996</v>
      </c>
      <c r="M63" s="31">
        <f t="shared" si="15"/>
        <v>10.076498843622131</v>
      </c>
      <c r="N63" s="35">
        <v>0.30199999999999999</v>
      </c>
      <c r="O63" s="35">
        <v>10.074</v>
      </c>
      <c r="P63" s="31">
        <f t="shared" si="16"/>
        <v>33.357615894039739</v>
      </c>
      <c r="Q63" s="35">
        <v>3.42564</v>
      </c>
      <c r="R63" s="31">
        <f t="shared" si="17"/>
        <v>1.4202204278405974</v>
      </c>
      <c r="S63" s="35">
        <v>4.1904000000000003</v>
      </c>
      <c r="T63" s="31">
        <f t="shared" si="18"/>
        <v>2.3265937690143832</v>
      </c>
      <c r="U63" s="31">
        <f t="shared" si="19"/>
        <v>6.4014629880315129E-17</v>
      </c>
      <c r="V63" s="31">
        <f t="shared" si="20"/>
        <v>-16.193720761169192</v>
      </c>
      <c r="W63" s="31">
        <f t="shared" si="21"/>
        <v>3.9979873121124391E-17</v>
      </c>
      <c r="X63" s="31">
        <f t="shared" si="22"/>
        <v>-16.398158588479106</v>
      </c>
      <c r="Y63" s="31">
        <f t="shared" si="23"/>
        <v>0.93681412817365439</v>
      </c>
    </row>
    <row r="64" spans="1:25" x14ac:dyDescent="0.35">
      <c r="A64" s="31">
        <v>9</v>
      </c>
      <c r="B64" s="32">
        <v>43520</v>
      </c>
      <c r="C64" s="36">
        <v>0.55208333333333337</v>
      </c>
      <c r="D64" s="37">
        <f>D61+24 -0.5</f>
        <v>75.25</v>
      </c>
      <c r="E64" s="35">
        <v>6.6040000000000001</v>
      </c>
      <c r="F64" s="35">
        <v>16.907</v>
      </c>
      <c r="G64" s="31">
        <f t="shared" si="14"/>
        <v>10.303000000000001</v>
      </c>
      <c r="H64" s="35">
        <v>8.7200000000000006</v>
      </c>
      <c r="I64" s="35">
        <v>4.5810000000000004</v>
      </c>
      <c r="J64" s="35">
        <v>8.7999999999999995E-2</v>
      </c>
      <c r="K64" s="35">
        <v>0.51200000000000001</v>
      </c>
      <c r="L64" s="35">
        <v>5.0049999999999999</v>
      </c>
      <c r="M64" s="31">
        <f t="shared" si="15"/>
        <v>9.9631737236684117</v>
      </c>
      <c r="N64" s="35">
        <v>0.30299999999999999</v>
      </c>
      <c r="O64" s="35">
        <v>10.058999999999999</v>
      </c>
      <c r="P64" s="31">
        <f t="shared" si="16"/>
        <v>33.198019801980195</v>
      </c>
      <c r="Q64" s="35">
        <v>3.5819899999999998</v>
      </c>
      <c r="R64" s="31">
        <f t="shared" si="17"/>
        <v>1.4683393806394986</v>
      </c>
      <c r="S64" s="35">
        <v>4.2411000000000003</v>
      </c>
      <c r="T64" s="31">
        <f t="shared" si="18"/>
        <v>2.3434773931787318</v>
      </c>
      <c r="U64" s="31">
        <f t="shared" si="19"/>
        <v>4.9480365372571586E-17</v>
      </c>
      <c r="V64" s="31">
        <f t="shared" si="20"/>
        <v>-16.305567102116768</v>
      </c>
      <c r="W64" s="31">
        <f t="shared" si="21"/>
        <v>3.6580089249690724E-17</v>
      </c>
      <c r="X64" s="31">
        <f t="shared" si="22"/>
        <v>-16.436755239247766</v>
      </c>
      <c r="Y64" s="31">
        <f t="shared" si="23"/>
        <v>1.1089274192173244</v>
      </c>
    </row>
    <row r="65" spans="1:25" x14ac:dyDescent="0.35">
      <c r="A65" s="35">
        <v>10</v>
      </c>
      <c r="B65" s="32">
        <v>43520</v>
      </c>
      <c r="C65" s="36">
        <v>0.65625</v>
      </c>
      <c r="D65" s="37">
        <f>D64+2.5</f>
        <v>77.75</v>
      </c>
      <c r="E65" s="35">
        <v>6.6</v>
      </c>
      <c r="F65" s="35">
        <v>16.895</v>
      </c>
      <c r="G65" s="31">
        <f t="shared" si="14"/>
        <v>10.295</v>
      </c>
      <c r="H65" s="35">
        <v>8.68</v>
      </c>
      <c r="I65" s="35">
        <v>4.3730000000000002</v>
      </c>
      <c r="J65" s="35">
        <v>8.2000000000000003E-2</v>
      </c>
      <c r="K65" s="35">
        <v>0.51700000000000002</v>
      </c>
      <c r="L65" s="35">
        <v>5.0069999999999997</v>
      </c>
      <c r="M65" s="31">
        <f t="shared" si="15"/>
        <v>9.866321868720533</v>
      </c>
      <c r="N65" s="35">
        <v>0.50800000000000001</v>
      </c>
      <c r="O65" s="35">
        <v>10.273</v>
      </c>
      <c r="P65" s="31">
        <f t="shared" si="16"/>
        <v>20.222440944881889</v>
      </c>
      <c r="Q65" s="35">
        <v>3.4678499999999999</v>
      </c>
      <c r="R65" s="31">
        <f t="shared" si="17"/>
        <v>1.4077319190472126</v>
      </c>
      <c r="S65" s="35">
        <v>6.8182</v>
      </c>
      <c r="T65" s="31">
        <f t="shared" si="18"/>
        <v>2.2949508463780575</v>
      </c>
      <c r="U65" s="31">
        <f t="shared" si="19"/>
        <v>6.7786767043584411E-17</v>
      </c>
      <c r="V65" s="31">
        <f t="shared" si="20"/>
        <v>-16.168855078417049</v>
      </c>
      <c r="W65" s="31">
        <f t="shared" si="21"/>
        <v>4.6351674398907328E-17</v>
      </c>
      <c r="X65" s="31">
        <f t="shared" si="22"/>
        <v>-16.333934572866376</v>
      </c>
      <c r="Y65" s="31">
        <f t="shared" si="23"/>
        <v>1.0256797105201572</v>
      </c>
    </row>
    <row r="66" spans="1:25" x14ac:dyDescent="0.35">
      <c r="A66" s="35">
        <v>11</v>
      </c>
      <c r="B66" s="32">
        <v>43520</v>
      </c>
      <c r="C66" s="36">
        <v>0.76388888888888884</v>
      </c>
      <c r="D66" s="37">
        <f>D65+2.5+5/60</f>
        <v>80.333333333333329</v>
      </c>
      <c r="E66" s="35">
        <v>6.5960000000000001</v>
      </c>
      <c r="F66" s="35">
        <v>16.643999999999998</v>
      </c>
      <c r="G66" s="31">
        <f t="shared" si="14"/>
        <v>10.047999999999998</v>
      </c>
      <c r="H66" s="35">
        <v>8.5299999999999994</v>
      </c>
      <c r="I66" s="35">
        <v>4.3129999999999997</v>
      </c>
      <c r="J66" s="35">
        <v>9.8000000000000004E-2</v>
      </c>
      <c r="K66" s="35">
        <v>0.51300000000000001</v>
      </c>
      <c r="L66" s="35">
        <v>5.0250000000000004</v>
      </c>
      <c r="M66" s="31">
        <f t="shared" si="15"/>
        <v>10.017890967468135</v>
      </c>
      <c r="N66" s="35">
        <v>0.309</v>
      </c>
      <c r="O66" s="35">
        <v>10.035</v>
      </c>
      <c r="P66" s="31">
        <f t="shared" si="16"/>
        <v>32.475728155339809</v>
      </c>
      <c r="Q66" s="35">
        <v>3.3525700000000001</v>
      </c>
      <c r="R66" s="31">
        <f t="shared" si="17"/>
        <v>1.3818424489119379</v>
      </c>
      <c r="S66" s="35">
        <v>4.2142999999999997</v>
      </c>
      <c r="T66" s="31">
        <f t="shared" si="18"/>
        <v>2.2780036811759081</v>
      </c>
      <c r="U66" s="31">
        <f t="shared" si="19"/>
        <v>7.5606646426329466E-17</v>
      </c>
      <c r="V66" s="31">
        <f t="shared" si="20"/>
        <v>-16.121440024877071</v>
      </c>
      <c r="W66" s="31">
        <f t="shared" si="21"/>
        <v>4.9764253259934823E-17</v>
      </c>
      <c r="X66" s="31">
        <f t="shared" si="22"/>
        <v>-16.303082508373897</v>
      </c>
      <c r="Y66" s="31">
        <f t="shared" si="23"/>
        <v>0.9872991782890026</v>
      </c>
    </row>
    <row r="67" spans="1:25" x14ac:dyDescent="0.35">
      <c r="A67" s="31">
        <v>12</v>
      </c>
      <c r="B67" s="32">
        <v>43521</v>
      </c>
      <c r="C67" s="36">
        <v>0.40625</v>
      </c>
      <c r="D67" s="37">
        <f>D56+4*24-15/60</f>
        <v>96.25</v>
      </c>
      <c r="E67" s="35">
        <v>6.6319999999999997</v>
      </c>
      <c r="F67" s="35">
        <v>16.902999999999999</v>
      </c>
      <c r="G67" s="31">
        <f t="shared" si="14"/>
        <v>10.270999999999999</v>
      </c>
      <c r="H67" s="35">
        <v>8.56</v>
      </c>
      <c r="I67" s="35">
        <v>4.0940000000000003</v>
      </c>
      <c r="J67" s="35">
        <v>0.104</v>
      </c>
      <c r="K67" s="35">
        <v>0.51400000000000001</v>
      </c>
      <c r="L67" s="35">
        <v>5.0179999999999998</v>
      </c>
      <c r="M67" s="31">
        <f t="shared" si="15"/>
        <v>10.010646689945807</v>
      </c>
      <c r="N67" s="35"/>
      <c r="O67" s="35"/>
      <c r="P67" s="31"/>
      <c r="Q67" s="35">
        <v>3.4590900000000002</v>
      </c>
      <c r="R67" s="31">
        <f t="shared" si="17"/>
        <v>1.4247162254155379</v>
      </c>
      <c r="S67" s="35"/>
      <c r="T67" s="31"/>
      <c r="U67" s="31">
        <f t="shared" si="19"/>
        <v>6.2656680313113645E-17</v>
      </c>
      <c r="V67" s="31">
        <f t="shared" si="20"/>
        <v>-16.203032618708839</v>
      </c>
      <c r="W67" s="31">
        <f t="shared" si="21"/>
        <v>5.0847620390155608E-16</v>
      </c>
      <c r="X67" s="31">
        <f t="shared" si="22"/>
        <v>-15.293729366745293</v>
      </c>
      <c r="Y67" s="31">
        <f t="shared" si="23"/>
        <v>12.172912801010666</v>
      </c>
    </row>
    <row r="68" spans="1:25" x14ac:dyDescent="0.35">
      <c r="A68" s="35">
        <v>13</v>
      </c>
      <c r="B68" s="32">
        <v>43521</v>
      </c>
      <c r="C68" s="36">
        <v>0.57638888888888895</v>
      </c>
      <c r="D68" s="37">
        <f>D67+4-5/60</f>
        <v>100.16666666666667</v>
      </c>
      <c r="E68" s="35">
        <v>6.6470000000000002</v>
      </c>
      <c r="F68" s="35">
        <v>17.071000000000002</v>
      </c>
      <c r="G68" s="31">
        <f t="shared" si="14"/>
        <v>10.424000000000001</v>
      </c>
      <c r="H68" s="35">
        <v>8.57</v>
      </c>
      <c r="I68" s="35">
        <v>4.4640000000000004</v>
      </c>
      <c r="J68" s="35">
        <v>8.1000000000000003E-2</v>
      </c>
      <c r="K68" s="35">
        <v>0.51200000000000001</v>
      </c>
      <c r="L68" s="35">
        <v>5.0140000000000002</v>
      </c>
      <c r="M68" s="31">
        <f t="shared" si="15"/>
        <v>9.9706637474798399</v>
      </c>
      <c r="N68" s="35">
        <v>0.30399999999999999</v>
      </c>
      <c r="O68" s="35">
        <v>9.9920000000000009</v>
      </c>
      <c r="P68" s="31">
        <f t="shared" si="16"/>
        <v>32.868421052631582</v>
      </c>
      <c r="Q68" s="35">
        <v>3.4212199999999999</v>
      </c>
      <c r="R68" s="31">
        <f t="shared" si="17"/>
        <v>1.403490402228059</v>
      </c>
      <c r="S68" s="35">
        <v>4.1445999999999996</v>
      </c>
      <c r="T68" s="31">
        <f t="shared" si="18"/>
        <v>2.2674177412572711</v>
      </c>
      <c r="U68" s="31">
        <f t="shared" si="19"/>
        <v>6.9067911452966269E-17</v>
      </c>
      <c r="V68" s="31">
        <f t="shared" si="20"/>
        <v>-16.160723676441599</v>
      </c>
      <c r="W68" s="31">
        <f t="shared" si="21"/>
        <v>5.1895899134601001E-17</v>
      </c>
      <c r="X68" s="31">
        <f t="shared" si="22"/>
        <v>-16.284866959176195</v>
      </c>
      <c r="Y68" s="31">
        <f t="shared" si="23"/>
        <v>1.1270624384655303</v>
      </c>
    </row>
    <row r="69" spans="1:25" x14ac:dyDescent="0.35">
      <c r="A69" s="35">
        <v>14</v>
      </c>
      <c r="B69" s="32">
        <v>43521</v>
      </c>
      <c r="C69" s="36">
        <v>0.69791666666666663</v>
      </c>
      <c r="D69" s="37">
        <f>D68+3-5/60</f>
        <v>103.08333333333334</v>
      </c>
      <c r="E69" s="35">
        <v>6.6269999999999998</v>
      </c>
      <c r="F69" s="35">
        <v>17.09</v>
      </c>
      <c r="G69" s="31">
        <f t="shared" si="14"/>
        <v>10.463000000000001</v>
      </c>
      <c r="H69" s="35">
        <v>8.68</v>
      </c>
      <c r="I69" s="35">
        <v>4.6059999999999999</v>
      </c>
      <c r="J69" s="35">
        <v>8.4000000000000005E-2</v>
      </c>
      <c r="K69" s="35">
        <v>0.51400000000000001</v>
      </c>
      <c r="L69" s="35">
        <v>5.0289999999999999</v>
      </c>
      <c r="M69" s="31">
        <f t="shared" si="15"/>
        <v>9.9624791550861556</v>
      </c>
      <c r="N69" s="35">
        <v>0.30599999999999999</v>
      </c>
      <c r="O69" s="35">
        <v>10.006</v>
      </c>
      <c r="P69" s="31">
        <f t="shared" si="16"/>
        <v>32.699346405228759</v>
      </c>
      <c r="Q69" s="35">
        <v>3.5086599999999999</v>
      </c>
      <c r="R69" s="31">
        <f t="shared" si="17"/>
        <v>1.4381794738648257</v>
      </c>
      <c r="S69" s="35">
        <v>4.26</v>
      </c>
      <c r="T69" s="31">
        <f t="shared" si="18"/>
        <v>2.3185621785331976</v>
      </c>
      <c r="U69" s="31">
        <f t="shared" si="19"/>
        <v>5.8590124357226652E-17</v>
      </c>
      <c r="V69" s="31">
        <f t="shared" si="20"/>
        <v>-16.232175580203783</v>
      </c>
      <c r="W69" s="31">
        <f t="shared" si="21"/>
        <v>4.1597160470931281E-17</v>
      </c>
      <c r="X69" s="31">
        <f t="shared" si="22"/>
        <v>-16.380936314418815</v>
      </c>
      <c r="Y69" s="31">
        <f t="shared" si="23"/>
        <v>1.0649532048433155</v>
      </c>
    </row>
    <row r="70" spans="1:25" x14ac:dyDescent="0.35">
      <c r="A70" s="31">
        <v>15</v>
      </c>
      <c r="B70" s="32">
        <v>43521</v>
      </c>
      <c r="C70" s="36">
        <v>0.82986111111111116</v>
      </c>
      <c r="D70" s="37">
        <f>D69+3+10/60</f>
        <v>106.25000000000001</v>
      </c>
      <c r="E70" s="35"/>
      <c r="F70" s="35"/>
      <c r="G70" s="31">
        <f t="shared" si="14"/>
        <v>0</v>
      </c>
      <c r="H70" s="35">
        <v>8.2200000000000006</v>
      </c>
      <c r="I70" s="39">
        <v>5.1079999999999997</v>
      </c>
      <c r="J70" s="35">
        <v>8.8999999999999996E-2</v>
      </c>
      <c r="K70" s="35">
        <v>0.51600000000000001</v>
      </c>
      <c r="L70" s="35">
        <v>5.0229999999999997</v>
      </c>
      <c r="M70" s="31">
        <f t="shared" si="15"/>
        <v>9.9041065694183921</v>
      </c>
      <c r="N70" s="35">
        <v>0.307</v>
      </c>
      <c r="O70" s="35">
        <v>10.039999999999999</v>
      </c>
      <c r="P70" s="31">
        <f t="shared" si="16"/>
        <v>32.703583061889248</v>
      </c>
      <c r="Q70" s="35">
        <v>3.6030199999999999</v>
      </c>
      <c r="R70" s="31">
        <f t="shared" si="17"/>
        <v>1.4682038285021952</v>
      </c>
      <c r="S70" s="35">
        <v>4.2504</v>
      </c>
      <c r="T70" s="31">
        <f t="shared" si="18"/>
        <v>2.3136369748044951</v>
      </c>
      <c r="U70" s="31">
        <f t="shared" si="19"/>
        <v>4.9521308712016064E-17</v>
      </c>
      <c r="V70" s="31">
        <f t="shared" si="20"/>
        <v>-16.305207886627343</v>
      </c>
      <c r="W70" s="31">
        <f t="shared" si="21"/>
        <v>4.2588927880426533E-17</v>
      </c>
      <c r="X70" s="31">
        <f t="shared" si="22"/>
        <v>-16.370703292574181</v>
      </c>
      <c r="Y70" s="31">
        <f t="shared" si="23"/>
        <v>1.2900182463299652</v>
      </c>
    </row>
    <row r="75" spans="1:25" x14ac:dyDescent="0.35">
      <c r="A75" s="43"/>
      <c r="B75" s="10"/>
      <c r="C75" s="10"/>
      <c r="D75" s="10"/>
      <c r="E75" s="43"/>
      <c r="F75" s="10"/>
      <c r="G75" s="10"/>
      <c r="H75" s="43"/>
      <c r="I75" s="43"/>
      <c r="J75" s="43"/>
      <c r="K75" s="43"/>
      <c r="L75" s="43"/>
      <c r="M75" s="43"/>
      <c r="N75" s="43"/>
    </row>
    <row r="76" spans="1:25" x14ac:dyDescent="0.3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</row>
    <row r="77" spans="1:25" x14ac:dyDescent="0.35">
      <c r="B77" s="44"/>
      <c r="C77" s="3"/>
      <c r="D77" s="45"/>
    </row>
    <row r="78" spans="1:25" x14ac:dyDescent="0.35">
      <c r="B78" s="44"/>
      <c r="C78" s="3"/>
      <c r="D78" s="45"/>
    </row>
    <row r="79" spans="1:25" x14ac:dyDescent="0.35">
      <c r="B79" s="44"/>
      <c r="C79" s="3"/>
      <c r="D79" s="45"/>
    </row>
    <row r="80" spans="1:25" x14ac:dyDescent="0.35">
      <c r="B80" s="44"/>
      <c r="C80" s="3"/>
      <c r="D80" s="45"/>
    </row>
    <row r="81" spans="2:4" x14ac:dyDescent="0.35">
      <c r="B81" s="44"/>
      <c r="C81" s="3"/>
      <c r="D81" s="45"/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AA8D3F-454E-43C5-B744-43D33779067D}">
  <dimension ref="A1:T61"/>
  <sheetViews>
    <sheetView workbookViewId="0">
      <selection activeCell="E8" sqref="E8"/>
    </sheetView>
  </sheetViews>
  <sheetFormatPr defaultColWidth="11.6328125" defaultRowHeight="14.5" x14ac:dyDescent="0.35"/>
  <cols>
    <col min="4" max="4" width="13.26953125" bestFit="1" customWidth="1"/>
    <col min="7" max="7" width="19.26953125" bestFit="1" customWidth="1"/>
    <col min="10" max="10" width="13.453125" bestFit="1" customWidth="1"/>
    <col min="11" max="11" width="18.36328125" bestFit="1" customWidth="1"/>
    <col min="12" max="12" width="16.36328125" bestFit="1" customWidth="1"/>
    <col min="15" max="15" width="13.81640625" bestFit="1" customWidth="1"/>
    <col min="16" max="16" width="19.6328125" bestFit="1" customWidth="1"/>
    <col min="17" max="17" width="23.08984375" bestFit="1" customWidth="1"/>
    <col min="18" max="18" width="18.36328125" bestFit="1" customWidth="1"/>
    <col min="19" max="19" width="21.81640625" bestFit="1" customWidth="1"/>
    <col min="20" max="20" width="19.6328125" bestFit="1" customWidth="1"/>
    <col min="21" max="21" width="23.08984375" bestFit="1" customWidth="1"/>
    <col min="22" max="22" width="18.36328125" bestFit="1" customWidth="1"/>
    <col min="23" max="23" width="21.81640625" bestFit="1" customWidth="1"/>
    <col min="24" max="24" width="11.453125" bestFit="1" customWidth="1"/>
  </cols>
  <sheetData>
    <row r="1" spans="1:20" ht="18.5" x14ac:dyDescent="0.45">
      <c r="A1" s="1" t="s">
        <v>65</v>
      </c>
    </row>
    <row r="2" spans="1:20" x14ac:dyDescent="0.35">
      <c r="A2" s="2" t="s">
        <v>0</v>
      </c>
      <c r="C2" s="3"/>
    </row>
    <row r="3" spans="1:20" x14ac:dyDescent="0.35">
      <c r="A3" s="2" t="s">
        <v>1</v>
      </c>
    </row>
    <row r="4" spans="1:20" x14ac:dyDescent="0.35">
      <c r="A4" s="2" t="s">
        <v>2</v>
      </c>
    </row>
    <row r="5" spans="1:20" x14ac:dyDescent="0.35">
      <c r="A5" s="2" t="s">
        <v>3</v>
      </c>
      <c r="C5">
        <f>9.119+0.812-9.149</f>
        <v>0.78200000000000003</v>
      </c>
    </row>
    <row r="6" spans="1:20" x14ac:dyDescent="0.35">
      <c r="A6" s="2" t="s">
        <v>4</v>
      </c>
      <c r="C6">
        <f>AVERAGE(G20:G24)/(60*60)</f>
        <v>3.3153333333333333E-3</v>
      </c>
    </row>
    <row r="7" spans="1:20" ht="15" thickBot="1" x14ac:dyDescent="0.4">
      <c r="A7" s="2" t="s">
        <v>5</v>
      </c>
      <c r="C7">
        <v>2140000</v>
      </c>
    </row>
    <row r="8" spans="1:20" x14ac:dyDescent="0.35">
      <c r="A8" s="4" t="s">
        <v>6</v>
      </c>
      <c r="B8" s="5"/>
      <c r="C8" s="6">
        <f>AVERAGE(Q24:Q25)</f>
        <v>-16.575971091150176</v>
      </c>
    </row>
    <row r="9" spans="1:20" ht="15" thickBot="1" x14ac:dyDescent="0.4">
      <c r="A9" s="7" t="s">
        <v>7</v>
      </c>
      <c r="B9" s="8"/>
      <c r="C9" s="9">
        <f>AVERAGE(S24:S27)</f>
        <v>-16.486582077815282</v>
      </c>
    </row>
    <row r="11" spans="1:20" x14ac:dyDescent="0.35">
      <c r="A11" s="56" t="s">
        <v>8</v>
      </c>
      <c r="B11" s="57"/>
      <c r="C11" s="57"/>
      <c r="D11" s="57"/>
      <c r="E11" s="58" t="s">
        <v>9</v>
      </c>
      <c r="F11" s="58"/>
      <c r="G11" s="58"/>
      <c r="H11" s="59"/>
      <c r="I11" s="59"/>
      <c r="J11" s="59"/>
      <c r="K11" s="60" t="s">
        <v>10</v>
      </c>
      <c r="L11" s="61" t="s">
        <v>11</v>
      </c>
      <c r="M11" s="62"/>
      <c r="N11" s="62"/>
      <c r="O11" s="62"/>
      <c r="P11" s="63" t="s">
        <v>12</v>
      </c>
      <c r="Q11" s="64"/>
      <c r="R11" s="64"/>
      <c r="S11" s="64"/>
      <c r="T11" s="64"/>
    </row>
    <row r="12" spans="1:20" x14ac:dyDescent="0.35">
      <c r="A12" s="65" t="s">
        <v>13</v>
      </c>
      <c r="B12" s="65" t="s">
        <v>14</v>
      </c>
      <c r="C12" s="65" t="s">
        <v>15</v>
      </c>
      <c r="D12" s="65" t="s">
        <v>16</v>
      </c>
      <c r="E12" s="66" t="s">
        <v>17</v>
      </c>
      <c r="F12" s="66" t="s">
        <v>18</v>
      </c>
      <c r="G12" s="66" t="s">
        <v>59</v>
      </c>
      <c r="H12" s="66" t="s">
        <v>20</v>
      </c>
      <c r="I12" s="66" t="s">
        <v>21</v>
      </c>
      <c r="J12" s="66" t="s">
        <v>22</v>
      </c>
      <c r="K12" s="67" t="s">
        <v>60</v>
      </c>
      <c r="L12" s="28" t="s">
        <v>28</v>
      </c>
      <c r="M12" s="28" t="s">
        <v>29</v>
      </c>
      <c r="N12" s="28" t="s">
        <v>30</v>
      </c>
      <c r="O12" s="28" t="s">
        <v>31</v>
      </c>
      <c r="P12" s="68" t="s">
        <v>32</v>
      </c>
      <c r="Q12" s="68" t="s">
        <v>33</v>
      </c>
      <c r="R12" s="68" t="s">
        <v>34</v>
      </c>
      <c r="S12" s="68" t="s">
        <v>35</v>
      </c>
      <c r="T12" s="64" t="s">
        <v>36</v>
      </c>
    </row>
    <row r="13" spans="1:20" x14ac:dyDescent="0.35">
      <c r="A13" s="31">
        <v>1</v>
      </c>
      <c r="B13" s="38">
        <v>43669</v>
      </c>
      <c r="C13" s="33">
        <v>0.40277777777777773</v>
      </c>
      <c r="D13" s="34">
        <v>0.5</v>
      </c>
      <c r="E13" s="31">
        <v>4.9119999999999999</v>
      </c>
      <c r="F13" s="31">
        <v>15.811</v>
      </c>
      <c r="G13" s="35">
        <f>F13-E13</f>
        <v>10.899000000000001</v>
      </c>
      <c r="H13" s="31">
        <v>7.65</v>
      </c>
      <c r="I13" s="31">
        <v>4.5659999999999998</v>
      </c>
      <c r="J13" s="31">
        <v>5.6000000000000001E-2</v>
      </c>
      <c r="K13" s="31">
        <f>(J13+I13)/I13</f>
        <v>1.0122645641699519</v>
      </c>
      <c r="L13" s="31">
        <v>0.55238500000000001</v>
      </c>
      <c r="M13" s="31">
        <f>L13/24.305</f>
        <v>2.2727216622094221E-2</v>
      </c>
      <c r="N13" s="31">
        <v>1.6978</v>
      </c>
      <c r="O13" s="31">
        <f>N13/60.08</f>
        <v>2.8258988015978696E-2</v>
      </c>
      <c r="P13" s="31">
        <f t="shared" ref="P13:P27" si="0">(M13*10^(-6)*$C$6)/($C$5*$C$7*4)</f>
        <v>1.1256229360541563E-17</v>
      </c>
      <c r="Q13" s="31">
        <f>LOG(P13)</f>
        <v>-16.948607066159422</v>
      </c>
      <c r="R13" s="31">
        <f t="shared" ref="R13:R27" si="1">(O13*10^(-6)*$C$6)/($C$5*$C$7*6)</f>
        <v>9.3306527849791421E-18</v>
      </c>
      <c r="S13" s="31">
        <f>LOG(R13)</f>
        <v>-17.03008797136636</v>
      </c>
      <c r="T13" s="31">
        <f>O13/M13</f>
        <v>1.2433985421913378</v>
      </c>
    </row>
    <row r="14" spans="1:20" x14ac:dyDescent="0.35">
      <c r="A14" s="35">
        <v>2</v>
      </c>
      <c r="B14" s="32">
        <v>43669</v>
      </c>
      <c r="C14" s="33">
        <v>0.55208333333333337</v>
      </c>
      <c r="D14" s="34">
        <f>D13+3+35/60</f>
        <v>4.083333333333333</v>
      </c>
      <c r="E14" s="31">
        <v>4.9249999999999998</v>
      </c>
      <c r="F14" s="35">
        <v>15.637</v>
      </c>
      <c r="G14" s="35">
        <f>F14-E14</f>
        <v>10.712</v>
      </c>
      <c r="H14" s="35">
        <v>7.51</v>
      </c>
      <c r="I14" s="35">
        <v>4.4960000000000004</v>
      </c>
      <c r="J14" s="31">
        <v>6.0999999999999999E-2</v>
      </c>
      <c r="K14" s="31">
        <f t="shared" ref="K14:K27" si="2">(J14+I14)/I14</f>
        <v>1.0135676156583631</v>
      </c>
      <c r="L14" s="35">
        <v>1.29047</v>
      </c>
      <c r="M14" s="31">
        <f t="shared" ref="M14:M27" si="3">L14/24.305</f>
        <v>5.3094836453404654E-2</v>
      </c>
      <c r="N14" s="35">
        <v>5.2462999999999997</v>
      </c>
      <c r="O14" s="31">
        <f t="shared" ref="O14:O27" si="4">N14/60.08</f>
        <v>8.7321904127829558E-2</v>
      </c>
      <c r="P14" s="31">
        <f t="shared" si="0"/>
        <v>2.6296561823543487E-17</v>
      </c>
      <c r="Q14" s="31">
        <f t="shared" ref="Q14:Q27" si="5">LOG(P14)</f>
        <v>-16.580101030166993</v>
      </c>
      <c r="R14" s="31">
        <f t="shared" si="1"/>
        <v>2.8832255687263558E-17</v>
      </c>
      <c r="S14" s="31">
        <f t="shared" ref="S14:S27" si="6">LOG(R14)</f>
        <v>-16.540121379318009</v>
      </c>
      <c r="T14" s="31">
        <f t="shared" ref="T14:T27" si="7">O14/M14</f>
        <v>1.6446402317193713</v>
      </c>
    </row>
    <row r="15" spans="1:20" x14ac:dyDescent="0.35">
      <c r="A15" s="31">
        <v>3</v>
      </c>
      <c r="B15" s="38">
        <v>43669</v>
      </c>
      <c r="C15" s="33">
        <v>0.71527777777777779</v>
      </c>
      <c r="D15" s="37">
        <f>D14+3-5/60</f>
        <v>7</v>
      </c>
      <c r="E15" s="31">
        <v>4.9420000000000002</v>
      </c>
      <c r="F15" s="35">
        <v>17.361999999999998</v>
      </c>
      <c r="G15" s="35">
        <f t="shared" ref="G15:G27" si="8">F15-E15</f>
        <v>12.419999999999998</v>
      </c>
      <c r="H15" s="35">
        <v>7.71</v>
      </c>
      <c r="I15" s="35">
        <v>5.165</v>
      </c>
      <c r="J15" s="35">
        <v>5.7000000000000002E-2</v>
      </c>
      <c r="K15" s="31">
        <f t="shared" si="2"/>
        <v>1.0110358180058083</v>
      </c>
      <c r="L15" s="35">
        <v>1.5494699999999999</v>
      </c>
      <c r="M15" s="31">
        <f t="shared" si="3"/>
        <v>6.3751080024686269E-2</v>
      </c>
      <c r="N15" s="35">
        <v>6.3617999999999997</v>
      </c>
      <c r="O15" s="31">
        <f t="shared" si="4"/>
        <v>0.10588881491344873</v>
      </c>
      <c r="P15" s="31">
        <f t="shared" si="0"/>
        <v>3.1574336209850613E-17</v>
      </c>
      <c r="Q15" s="31">
        <f t="shared" si="5"/>
        <v>-16.500665770889157</v>
      </c>
      <c r="R15" s="31">
        <f t="shared" si="1"/>
        <v>3.4962744073200791E-17</v>
      </c>
      <c r="S15" s="31">
        <f t="shared" si="6"/>
        <v>-16.456394488821367</v>
      </c>
      <c r="T15" s="31">
        <f t="shared" si="7"/>
        <v>1.6609728787723361</v>
      </c>
    </row>
    <row r="16" spans="1:20" x14ac:dyDescent="0.35">
      <c r="A16" s="35">
        <v>4</v>
      </c>
      <c r="B16" s="32">
        <v>43670</v>
      </c>
      <c r="C16" s="33">
        <v>0.36805555555555558</v>
      </c>
      <c r="D16" s="37">
        <f>D13+24-50/60</f>
        <v>23.666666666666668</v>
      </c>
      <c r="E16" s="35">
        <v>4.92</v>
      </c>
      <c r="F16" s="35">
        <v>17.023</v>
      </c>
      <c r="G16" s="35">
        <f t="shared" si="8"/>
        <v>12.103</v>
      </c>
      <c r="H16" s="35">
        <v>7.71</v>
      </c>
      <c r="I16" s="35">
        <v>6.1870000000000003</v>
      </c>
      <c r="J16" s="35">
        <v>6.0999999999999999E-2</v>
      </c>
      <c r="K16" s="31">
        <f t="shared" si="2"/>
        <v>1.0098593825763698</v>
      </c>
      <c r="L16" s="35">
        <v>1.6802699999999999</v>
      </c>
      <c r="M16" s="31">
        <f t="shared" si="3"/>
        <v>6.9132688747171364E-2</v>
      </c>
      <c r="N16" s="35">
        <v>7.0529999999999999</v>
      </c>
      <c r="O16" s="31">
        <f t="shared" si="4"/>
        <v>0.11739347536617843</v>
      </c>
      <c r="P16" s="31">
        <f t="shared" si="0"/>
        <v>3.4239714162472126E-17</v>
      </c>
      <c r="Q16" s="31">
        <f t="shared" si="5"/>
        <v>-16.465469869525819</v>
      </c>
      <c r="R16" s="31">
        <f t="shared" si="1"/>
        <v>3.8761393622604482E-17</v>
      </c>
      <c r="S16" s="31">
        <f t="shared" si="6"/>
        <v>-16.41160061676765</v>
      </c>
      <c r="T16" s="31">
        <f t="shared" si="7"/>
        <v>1.6980892468323345</v>
      </c>
    </row>
    <row r="17" spans="1:20" x14ac:dyDescent="0.35">
      <c r="A17" s="31">
        <v>5</v>
      </c>
      <c r="B17" s="38">
        <v>43670</v>
      </c>
      <c r="C17" s="36">
        <v>0.53472222222222221</v>
      </c>
      <c r="D17" s="37">
        <f>D16+4</f>
        <v>27.666666666666668</v>
      </c>
      <c r="E17" s="35">
        <v>4.93</v>
      </c>
      <c r="F17" s="35">
        <v>17.312999999999999</v>
      </c>
      <c r="G17" s="35">
        <f t="shared" si="8"/>
        <v>12.382999999999999</v>
      </c>
      <c r="H17" s="35">
        <v>7.79</v>
      </c>
      <c r="I17" s="35">
        <v>5.2409999999999997</v>
      </c>
      <c r="J17" s="35">
        <v>5.6000000000000001E-2</v>
      </c>
      <c r="K17" s="31">
        <f t="shared" si="2"/>
        <v>1.0106849837817211</v>
      </c>
      <c r="L17" s="35">
        <v>1.7075499999999999</v>
      </c>
      <c r="M17" s="31">
        <f t="shared" si="3"/>
        <v>7.0255091544949591E-2</v>
      </c>
      <c r="N17" s="35">
        <v>7.0583</v>
      </c>
      <c r="O17" s="31">
        <f t="shared" si="4"/>
        <v>0.11748169107856192</v>
      </c>
      <c r="P17" s="31">
        <f t="shared" si="0"/>
        <v>3.4795612561153435E-17</v>
      </c>
      <c r="Q17" s="31">
        <f t="shared" si="5"/>
        <v>-16.458475513542094</v>
      </c>
      <c r="R17" s="31">
        <f t="shared" si="1"/>
        <v>3.8790520999068371E-17</v>
      </c>
      <c r="S17" s="31">
        <f t="shared" si="6"/>
        <v>-16.411274387311494</v>
      </c>
      <c r="T17" s="31">
        <f t="shared" si="7"/>
        <v>1.6722160415006575</v>
      </c>
    </row>
    <row r="18" spans="1:20" x14ac:dyDescent="0.35">
      <c r="A18" s="35">
        <v>6</v>
      </c>
      <c r="B18" s="32">
        <v>43670</v>
      </c>
      <c r="C18" s="36">
        <v>0.72916666666666663</v>
      </c>
      <c r="D18" s="37">
        <f>D17+4+4/6</f>
        <v>32.333333333333336</v>
      </c>
      <c r="E18" s="35">
        <v>4.9379999999999997</v>
      </c>
      <c r="F18" s="35">
        <v>17.321000000000002</v>
      </c>
      <c r="G18" s="35">
        <f t="shared" si="8"/>
        <v>12.383000000000003</v>
      </c>
      <c r="H18" s="35">
        <v>7.84</v>
      </c>
      <c r="I18" s="35">
        <v>5.8680000000000003</v>
      </c>
      <c r="J18" s="35">
        <v>5.6000000000000001E-2</v>
      </c>
      <c r="K18" s="31">
        <f t="shared" si="2"/>
        <v>1.0095432856169053</v>
      </c>
      <c r="L18" s="35">
        <v>1.6664099999999999</v>
      </c>
      <c r="M18" s="31">
        <f t="shared" si="3"/>
        <v>6.8562435712816297E-2</v>
      </c>
      <c r="N18" s="35">
        <v>6.9558999999999997</v>
      </c>
      <c r="O18" s="31">
        <f t="shared" si="4"/>
        <v>0.11577729693741677</v>
      </c>
      <c r="P18" s="31">
        <f t="shared" si="0"/>
        <v>3.3957281911529212E-17</v>
      </c>
      <c r="Q18" s="31">
        <f t="shared" si="5"/>
        <v>-16.469067079855268</v>
      </c>
      <c r="R18" s="31">
        <f t="shared" si="1"/>
        <v>3.8227758102860413E-17</v>
      </c>
      <c r="S18" s="31">
        <f t="shared" si="6"/>
        <v>-16.417621170777892</v>
      </c>
      <c r="T18" s="31">
        <f t="shared" si="7"/>
        <v>1.6886403718556144</v>
      </c>
    </row>
    <row r="19" spans="1:20" x14ac:dyDescent="0.35">
      <c r="A19" s="31">
        <v>7</v>
      </c>
      <c r="B19" s="32">
        <v>43671</v>
      </c>
      <c r="C19" s="36">
        <v>0.38541666666666669</v>
      </c>
      <c r="D19" s="37">
        <f>D16+24+25/60</f>
        <v>48.083333333333336</v>
      </c>
      <c r="E19" s="35">
        <v>4.9269999999999996</v>
      </c>
      <c r="F19" s="35">
        <v>17.027999999999999</v>
      </c>
      <c r="G19" s="35">
        <f t="shared" si="8"/>
        <v>12.100999999999999</v>
      </c>
      <c r="H19" s="35">
        <v>7.75</v>
      </c>
      <c r="I19" s="35">
        <v>5.7869999999999999</v>
      </c>
      <c r="J19" s="35">
        <v>5.8999999999999997E-2</v>
      </c>
      <c r="K19" s="31">
        <f t="shared" si="2"/>
        <v>1.0101952652496977</v>
      </c>
      <c r="L19" s="35">
        <v>1.5860399999999999</v>
      </c>
      <c r="M19" s="31">
        <f t="shared" si="3"/>
        <v>6.525570870191319E-2</v>
      </c>
      <c r="N19" s="35"/>
      <c r="O19" s="31"/>
      <c r="P19" s="31">
        <f t="shared" si="0"/>
        <v>3.2319541651191357E-17</v>
      </c>
      <c r="Q19" s="31">
        <f t="shared" si="5"/>
        <v>-16.490534806924984</v>
      </c>
      <c r="R19" s="31"/>
      <c r="S19" s="31"/>
      <c r="T19" s="31"/>
    </row>
    <row r="20" spans="1:20" x14ac:dyDescent="0.35">
      <c r="A20" s="35">
        <v>8</v>
      </c>
      <c r="B20" s="32">
        <v>43671</v>
      </c>
      <c r="C20" s="36">
        <v>0.55208333333333337</v>
      </c>
      <c r="D20" s="37">
        <f>D19+4</f>
        <v>52.083333333333336</v>
      </c>
      <c r="E20" s="35">
        <v>4.9390000000000001</v>
      </c>
      <c r="F20" s="35">
        <v>17.11</v>
      </c>
      <c r="G20" s="35">
        <f t="shared" si="8"/>
        <v>12.170999999999999</v>
      </c>
      <c r="H20" s="35">
        <v>7.76</v>
      </c>
      <c r="I20" s="35">
        <v>6.0190000000000001</v>
      </c>
      <c r="J20" s="35">
        <v>5.8000000000000003E-2</v>
      </c>
      <c r="K20" s="31">
        <f t="shared" si="2"/>
        <v>1.0096361521847483</v>
      </c>
      <c r="L20" s="35">
        <v>1.55583</v>
      </c>
      <c r="M20" s="31">
        <f t="shared" si="3"/>
        <v>6.4012754577247477E-2</v>
      </c>
      <c r="N20" s="35">
        <v>6.7161999999999997</v>
      </c>
      <c r="O20" s="31">
        <f t="shared" si="4"/>
        <v>0.11178761651131824</v>
      </c>
      <c r="P20" s="31">
        <f t="shared" si="0"/>
        <v>3.1703937156170743E-17</v>
      </c>
      <c r="Q20" s="31">
        <f t="shared" si="5"/>
        <v>-16.498886801535441</v>
      </c>
      <c r="R20" s="31">
        <f t="shared" si="1"/>
        <v>3.6910431284295507E-17</v>
      </c>
      <c r="S20" s="31">
        <f t="shared" si="6"/>
        <v>-16.432850880209507</v>
      </c>
      <c r="T20" s="31">
        <f t="shared" si="7"/>
        <v>1.7463334807193525</v>
      </c>
    </row>
    <row r="21" spans="1:20" x14ac:dyDescent="0.35">
      <c r="A21" s="31">
        <v>9</v>
      </c>
      <c r="B21" s="32">
        <v>43671</v>
      </c>
      <c r="C21" s="36">
        <v>0.76041666666666663</v>
      </c>
      <c r="D21" s="37">
        <f>D20+5</f>
        <v>57.083333333333336</v>
      </c>
      <c r="E21" s="35">
        <v>4.9009999999999998</v>
      </c>
      <c r="F21" s="35">
        <v>16.994</v>
      </c>
      <c r="G21" s="35">
        <f t="shared" si="8"/>
        <v>12.093</v>
      </c>
      <c r="H21" s="35">
        <v>7.78</v>
      </c>
      <c r="I21" s="35">
        <v>6.3860000000000001</v>
      </c>
      <c r="J21" s="35">
        <v>5.6000000000000001E-2</v>
      </c>
      <c r="K21" s="31">
        <f t="shared" si="2"/>
        <v>1.008769182586909</v>
      </c>
      <c r="L21" s="35">
        <v>1.5818700000000001</v>
      </c>
      <c r="M21" s="31">
        <f t="shared" si="3"/>
        <v>6.5084139066035801E-2</v>
      </c>
      <c r="N21" s="35">
        <v>6.6932999999999998</v>
      </c>
      <c r="O21" s="31">
        <f t="shared" si="4"/>
        <v>0.11140645805592543</v>
      </c>
      <c r="P21" s="31">
        <f t="shared" si="0"/>
        <v>3.2234567445821088E-17</v>
      </c>
      <c r="Q21" s="31">
        <f t="shared" si="5"/>
        <v>-16.491678153191465</v>
      </c>
      <c r="R21" s="31">
        <f t="shared" si="1"/>
        <v>3.6784579035045876E-17</v>
      </c>
      <c r="S21" s="31">
        <f t="shared" si="6"/>
        <v>-16.434334209685442</v>
      </c>
      <c r="T21" s="31">
        <f t="shared" si="7"/>
        <v>1.7117297648032186</v>
      </c>
    </row>
    <row r="22" spans="1:20" x14ac:dyDescent="0.35">
      <c r="A22" s="35">
        <v>10</v>
      </c>
      <c r="B22" s="32">
        <v>43672</v>
      </c>
      <c r="C22" s="36">
        <v>0.38541666666666669</v>
      </c>
      <c r="D22" s="37">
        <f>D19+24</f>
        <v>72.083333333333343</v>
      </c>
      <c r="E22" s="35">
        <v>4.9370000000000003</v>
      </c>
      <c r="F22" s="35">
        <v>16.728000000000002</v>
      </c>
      <c r="G22" s="35">
        <f t="shared" si="8"/>
        <v>11.791</v>
      </c>
      <c r="H22" s="35">
        <v>7.83</v>
      </c>
      <c r="I22" s="35">
        <v>5.2439999999999998</v>
      </c>
      <c r="J22" s="35">
        <v>0.06</v>
      </c>
      <c r="K22" s="31">
        <f t="shared" si="2"/>
        <v>1.0114416475972539</v>
      </c>
      <c r="L22" s="35">
        <v>1.4393</v>
      </c>
      <c r="M22" s="31">
        <f t="shared" si="3"/>
        <v>5.9218267846122198E-2</v>
      </c>
      <c r="N22" s="35">
        <v>6.4436999999999998</v>
      </c>
      <c r="O22" s="31">
        <f t="shared" si="4"/>
        <v>0.10725199733688415</v>
      </c>
      <c r="P22" s="31">
        <f t="shared" si="0"/>
        <v>2.9329346232478198E-17</v>
      </c>
      <c r="Q22" s="31">
        <f t="shared" si="5"/>
        <v>-16.532697617578314</v>
      </c>
      <c r="R22" s="31">
        <f t="shared" si="1"/>
        <v>3.5412844475538983E-17</v>
      </c>
      <c r="S22" s="31">
        <f t="shared" si="6"/>
        <v>-16.45083918788702</v>
      </c>
      <c r="T22" s="31">
        <f t="shared" si="7"/>
        <v>1.8111302683755779</v>
      </c>
    </row>
    <row r="23" spans="1:20" x14ac:dyDescent="0.35">
      <c r="A23" s="31">
        <v>11</v>
      </c>
      <c r="B23" s="32">
        <v>43672</v>
      </c>
      <c r="C23" s="36">
        <v>0.55208333333333337</v>
      </c>
      <c r="D23" s="37">
        <f>D22+4</f>
        <v>76.083333333333343</v>
      </c>
      <c r="E23" s="35">
        <v>4.9109999999999996</v>
      </c>
      <c r="F23" s="35">
        <v>16.818999999999999</v>
      </c>
      <c r="G23" s="35">
        <f t="shared" si="8"/>
        <v>11.907999999999999</v>
      </c>
      <c r="H23" s="35">
        <v>7.78</v>
      </c>
      <c r="I23" s="35">
        <v>5.6550000000000002</v>
      </c>
      <c r="J23" s="35">
        <v>5.8000000000000003E-2</v>
      </c>
      <c r="K23" s="31">
        <f t="shared" si="2"/>
        <v>1.0102564102564102</v>
      </c>
      <c r="L23" s="35">
        <v>1.4603900000000001</v>
      </c>
      <c r="M23" s="31">
        <f t="shared" si="3"/>
        <v>6.0085990536926565E-2</v>
      </c>
      <c r="N23" s="35">
        <v>6.3937999999999997</v>
      </c>
      <c r="O23" s="31">
        <f t="shared" si="4"/>
        <v>0.10642143808255659</v>
      </c>
      <c r="P23" s="31">
        <f t="shared" si="0"/>
        <v>2.9759107861077496E-17</v>
      </c>
      <c r="Q23" s="31">
        <f t="shared" si="5"/>
        <v>-16.526380092508507</v>
      </c>
      <c r="R23" s="31">
        <f t="shared" si="1"/>
        <v>3.5138607478265779E-17</v>
      </c>
      <c r="S23" s="31">
        <f t="shared" si="6"/>
        <v>-16.454215453327013</v>
      </c>
      <c r="T23" s="31">
        <f t="shared" si="7"/>
        <v>1.7711522624754605</v>
      </c>
    </row>
    <row r="24" spans="1:20" x14ac:dyDescent="0.35">
      <c r="A24" s="31">
        <v>13</v>
      </c>
      <c r="B24" s="32">
        <v>43674</v>
      </c>
      <c r="C24" s="36">
        <v>0.63541666666666663</v>
      </c>
      <c r="D24" s="37">
        <f>D23+2+24*2</f>
        <v>126.08333333333334</v>
      </c>
      <c r="E24" s="35">
        <v>4.9459999999999997</v>
      </c>
      <c r="F24" s="35">
        <v>16.658999999999999</v>
      </c>
      <c r="G24" s="35">
        <f t="shared" si="8"/>
        <v>11.712999999999999</v>
      </c>
      <c r="H24" s="35">
        <v>7.8109999999999999</v>
      </c>
      <c r="I24" s="35">
        <v>5.39</v>
      </c>
      <c r="J24" s="35">
        <v>5.7000000000000002E-2</v>
      </c>
      <c r="K24" s="31">
        <f t="shared" si="2"/>
        <v>1.0105751391465678</v>
      </c>
      <c r="L24" s="35">
        <v>1.29267</v>
      </c>
      <c r="M24" s="31">
        <f t="shared" si="3"/>
        <v>5.3185352808064183E-2</v>
      </c>
      <c r="N24" s="35">
        <v>5.9208999999999996</v>
      </c>
      <c r="O24" s="31">
        <f t="shared" si="4"/>
        <v>9.8550266311584547E-2</v>
      </c>
      <c r="P24" s="31">
        <f t="shared" si="0"/>
        <v>2.634139233956617E-17</v>
      </c>
      <c r="Q24" s="31">
        <f t="shared" si="5"/>
        <v>-16.579361273056499</v>
      </c>
      <c r="R24" s="31">
        <f t="shared" si="1"/>
        <v>3.2539676095289786E-17</v>
      </c>
      <c r="S24" s="31">
        <f t="shared" si="6"/>
        <v>-16.487586774408637</v>
      </c>
      <c r="T24" s="31">
        <f t="shared" si="7"/>
        <v>1.8529587773391991</v>
      </c>
    </row>
    <row r="25" spans="1:20" x14ac:dyDescent="0.35">
      <c r="A25" s="35">
        <v>14</v>
      </c>
      <c r="B25" s="32">
        <v>43675</v>
      </c>
      <c r="C25" s="36">
        <v>0.40972222222222227</v>
      </c>
      <c r="D25" s="37">
        <v>144.66666666666666</v>
      </c>
      <c r="E25" s="35">
        <v>4.9610000000000003</v>
      </c>
      <c r="F25" s="35">
        <v>16.556000000000001</v>
      </c>
      <c r="G25" s="35">
        <f t="shared" si="8"/>
        <v>11.595000000000001</v>
      </c>
      <c r="H25" s="35">
        <v>7.83</v>
      </c>
      <c r="I25" s="35">
        <v>5.4580000000000002</v>
      </c>
      <c r="J25" s="35">
        <v>4.4999999999999998E-2</v>
      </c>
      <c r="K25" s="31">
        <f t="shared" si="2"/>
        <v>1.0082447783070723</v>
      </c>
      <c r="L25" s="35">
        <v>1.31301</v>
      </c>
      <c r="M25" s="31">
        <f t="shared" si="3"/>
        <v>5.402221765068916E-2</v>
      </c>
      <c r="N25" s="35">
        <v>5.9511000000000003</v>
      </c>
      <c r="O25" s="31">
        <f t="shared" si="4"/>
        <v>9.9052929427430103E-2</v>
      </c>
      <c r="P25" s="31">
        <f t="shared" si="0"/>
        <v>2.6755870837703188E-17</v>
      </c>
      <c r="Q25" s="31">
        <f t="shared" si="5"/>
        <v>-16.572580909243854</v>
      </c>
      <c r="R25" s="31">
        <f t="shared" si="1"/>
        <v>3.2705647183819872E-17</v>
      </c>
      <c r="S25" s="31">
        <f t="shared" si="6"/>
        <v>-16.485377252568377</v>
      </c>
      <c r="T25" s="31">
        <f t="shared" si="7"/>
        <v>1.8335591120659314</v>
      </c>
    </row>
    <row r="26" spans="1:20" x14ac:dyDescent="0.35">
      <c r="A26" s="31">
        <v>15</v>
      </c>
      <c r="B26" s="32">
        <v>43675</v>
      </c>
      <c r="C26" s="36">
        <v>0.57638888888888895</v>
      </c>
      <c r="D26" s="37">
        <v>148.66666666666666</v>
      </c>
      <c r="E26" s="35">
        <v>4.9279999999999999</v>
      </c>
      <c r="F26" s="35">
        <v>16.606999999999999</v>
      </c>
      <c r="G26" s="35">
        <f t="shared" si="8"/>
        <v>11.678999999999998</v>
      </c>
      <c r="H26" s="35">
        <v>7.81</v>
      </c>
      <c r="I26" s="35">
        <v>5.6050000000000004</v>
      </c>
      <c r="J26" s="35">
        <v>6.0999999999999999E-2</v>
      </c>
      <c r="K26" s="31">
        <f t="shared" si="2"/>
        <v>1.0108831400535236</v>
      </c>
      <c r="L26" s="35">
        <v>1.3267800000000001</v>
      </c>
      <c r="M26" s="31">
        <f t="shared" si="3"/>
        <v>5.4588767743262705E-2</v>
      </c>
      <c r="N26" s="35">
        <v>5.9401000000000002</v>
      </c>
      <c r="O26" s="31">
        <f t="shared" si="4"/>
        <v>9.8869840213049273E-2</v>
      </c>
      <c r="P26" s="31">
        <f t="shared" si="0"/>
        <v>2.7036469112990637E-17</v>
      </c>
      <c r="Q26" s="31">
        <f t="shared" si="5"/>
        <v>-16.568050026667969</v>
      </c>
      <c r="R26" s="31">
        <f t="shared" si="1"/>
        <v>3.264519413832878E-17</v>
      </c>
      <c r="S26" s="31">
        <f t="shared" si="6"/>
        <v>-16.486180744337684</v>
      </c>
      <c r="T26" s="31">
        <f t="shared" si="7"/>
        <v>1.8111755275012906</v>
      </c>
    </row>
    <row r="27" spans="1:20" x14ac:dyDescent="0.35">
      <c r="A27" s="35">
        <v>16</v>
      </c>
      <c r="B27" s="32">
        <v>43675</v>
      </c>
      <c r="C27" s="36">
        <v>0.65972222222222221</v>
      </c>
      <c r="D27" s="37">
        <v>150.66666666666666</v>
      </c>
      <c r="E27" s="35">
        <v>4.9649999999999999</v>
      </c>
      <c r="F27" s="35">
        <v>16.411000000000001</v>
      </c>
      <c r="G27" s="35">
        <f t="shared" si="8"/>
        <v>11.446000000000002</v>
      </c>
      <c r="H27" s="35">
        <v>7.83</v>
      </c>
      <c r="I27" s="35">
        <v>6.6260000000000003</v>
      </c>
      <c r="J27" s="35">
        <v>5.8000000000000003E-2</v>
      </c>
      <c r="K27" s="31">
        <f t="shared" si="2"/>
        <v>1.0087533957138546</v>
      </c>
      <c r="L27" s="35">
        <v>1.3552999999999999</v>
      </c>
      <c r="M27" s="31">
        <f t="shared" si="3"/>
        <v>5.5762188850030855E-2</v>
      </c>
      <c r="N27" s="35">
        <v>5.9264000000000001</v>
      </c>
      <c r="O27" s="31">
        <f t="shared" si="4"/>
        <v>9.8641810918774969E-2</v>
      </c>
      <c r="P27" s="31">
        <f t="shared" si="0"/>
        <v>2.7617635620702911E-17</v>
      </c>
      <c r="Q27" s="31">
        <f t="shared" si="5"/>
        <v>-16.558813504643521</v>
      </c>
      <c r="R27" s="31">
        <f t="shared" si="1"/>
        <v>3.2569902618035326E-17</v>
      </c>
      <c r="S27" s="31">
        <f t="shared" si="6"/>
        <v>-16.487183539946429</v>
      </c>
      <c r="T27" s="31">
        <f t="shared" si="7"/>
        <v>1.7689730793040845</v>
      </c>
    </row>
    <row r="28" spans="1:20" x14ac:dyDescent="0.35">
      <c r="C28" s="3"/>
    </row>
    <row r="34" spans="1:20" ht="18.5" x14ac:dyDescent="0.45">
      <c r="A34" s="1" t="s">
        <v>66</v>
      </c>
    </row>
    <row r="35" spans="1:20" x14ac:dyDescent="0.35">
      <c r="A35" s="2" t="s">
        <v>0</v>
      </c>
      <c r="C35" s="3"/>
    </row>
    <row r="36" spans="1:20" x14ac:dyDescent="0.35">
      <c r="A36" s="2" t="s">
        <v>1</v>
      </c>
    </row>
    <row r="37" spans="1:20" x14ac:dyDescent="0.35">
      <c r="A37" s="2" t="s">
        <v>2</v>
      </c>
    </row>
    <row r="38" spans="1:20" x14ac:dyDescent="0.35">
      <c r="A38" s="2" t="s">
        <v>3</v>
      </c>
      <c r="C38">
        <f>9.12+0.815-9.153</f>
        <v>0.78199999999999825</v>
      </c>
    </row>
    <row r="39" spans="1:20" x14ac:dyDescent="0.35">
      <c r="A39" s="2" t="s">
        <v>4</v>
      </c>
      <c r="C39">
        <f>AVERAGE(G53:G57)/(60*60)</f>
        <v>3.2578333333333335E-3</v>
      </c>
    </row>
    <row r="40" spans="1:20" ht="15" thickBot="1" x14ac:dyDescent="0.4">
      <c r="A40" s="2" t="s">
        <v>5</v>
      </c>
      <c r="C40">
        <v>2140000</v>
      </c>
    </row>
    <row r="41" spans="1:20" x14ac:dyDescent="0.35">
      <c r="A41" s="4" t="s">
        <v>6</v>
      </c>
      <c r="B41" s="5"/>
      <c r="C41" s="6">
        <f>AVERAGE(Q59:Q60)</f>
        <v>-16.625481045940365</v>
      </c>
    </row>
    <row r="42" spans="1:20" ht="15" thickBot="1" x14ac:dyDescent="0.4">
      <c r="A42" s="7" t="s">
        <v>7</v>
      </c>
      <c r="B42" s="8"/>
      <c r="C42" s="9">
        <f>AVERAGE(S58:S60)</f>
        <v>-16.50427537344828</v>
      </c>
    </row>
    <row r="44" spans="1:20" x14ac:dyDescent="0.35">
      <c r="A44" s="56" t="s">
        <v>8</v>
      </c>
      <c r="B44" s="57"/>
      <c r="C44" s="57"/>
      <c r="D44" s="57"/>
      <c r="E44" s="58" t="s">
        <v>9</v>
      </c>
      <c r="F44" s="58"/>
      <c r="G44" s="58"/>
      <c r="H44" s="59"/>
      <c r="I44" s="59"/>
      <c r="J44" s="59"/>
      <c r="K44" s="60" t="s">
        <v>10</v>
      </c>
      <c r="L44" s="61" t="s">
        <v>11</v>
      </c>
      <c r="M44" s="62"/>
      <c r="N44" s="62"/>
      <c r="O44" s="62"/>
      <c r="P44" s="63" t="s">
        <v>12</v>
      </c>
      <c r="Q44" s="64"/>
      <c r="R44" s="64"/>
      <c r="S44" s="64"/>
      <c r="T44" s="64"/>
    </row>
    <row r="45" spans="1:20" x14ac:dyDescent="0.35">
      <c r="A45" s="65" t="s">
        <v>13</v>
      </c>
      <c r="B45" s="65" t="s">
        <v>14</v>
      </c>
      <c r="C45" s="65" t="s">
        <v>15</v>
      </c>
      <c r="D45" s="65" t="s">
        <v>16</v>
      </c>
      <c r="E45" s="66" t="s">
        <v>17</v>
      </c>
      <c r="F45" s="66" t="s">
        <v>18</v>
      </c>
      <c r="G45" s="66" t="s">
        <v>59</v>
      </c>
      <c r="H45" s="66" t="s">
        <v>20</v>
      </c>
      <c r="I45" s="66" t="s">
        <v>21</v>
      </c>
      <c r="J45" s="66" t="s">
        <v>22</v>
      </c>
      <c r="K45" s="67" t="s">
        <v>60</v>
      </c>
      <c r="L45" s="28" t="s">
        <v>28</v>
      </c>
      <c r="M45" s="28" t="s">
        <v>29</v>
      </c>
      <c r="N45" s="28" t="s">
        <v>30</v>
      </c>
      <c r="O45" s="28" t="s">
        <v>31</v>
      </c>
      <c r="P45" s="68" t="s">
        <v>32</v>
      </c>
      <c r="Q45" s="68" t="s">
        <v>33</v>
      </c>
      <c r="R45" s="68" t="s">
        <v>34</v>
      </c>
      <c r="S45" s="68" t="s">
        <v>35</v>
      </c>
      <c r="T45" s="64" t="s">
        <v>36</v>
      </c>
    </row>
    <row r="46" spans="1:20" x14ac:dyDescent="0.35">
      <c r="A46" s="31">
        <v>1</v>
      </c>
      <c r="B46" s="38">
        <v>43669</v>
      </c>
      <c r="C46" s="33">
        <v>0.40277777777777773</v>
      </c>
      <c r="D46" s="34">
        <v>0.5</v>
      </c>
      <c r="E46" s="31">
        <v>4.9219999999999997</v>
      </c>
      <c r="F46" s="31">
        <v>15.491</v>
      </c>
      <c r="G46" s="35">
        <f>F46-E46</f>
        <v>10.568999999999999</v>
      </c>
      <c r="H46" s="31">
        <v>7.64</v>
      </c>
      <c r="I46" s="31">
        <v>4.4950000000000001</v>
      </c>
      <c r="J46" s="31">
        <v>0.06</v>
      </c>
      <c r="K46" s="31">
        <f>(J46+I46)/I46</f>
        <v>1.0133481646273637</v>
      </c>
      <c r="L46" s="35">
        <v>0.54875799999999997</v>
      </c>
      <c r="M46" s="31">
        <f>L46/24.305</f>
        <v>2.2577988068298704E-2</v>
      </c>
      <c r="N46" s="31">
        <v>1.4495</v>
      </c>
      <c r="O46" s="31">
        <f>N46/60.08</f>
        <v>2.4126165113182423E-2</v>
      </c>
      <c r="P46" s="31">
        <f t="shared" ref="P46:P61" si="9">(M46*10^(-6)*$C$6)/($C$5*$C$7*4)</f>
        <v>1.1182320141625978E-17</v>
      </c>
      <c r="Q46" s="31">
        <f>LOG(P46)</f>
        <v>-16.951468078366801</v>
      </c>
      <c r="R46" s="31">
        <f t="shared" ref="R46:R61" si="10">(O46*10^(-6)*$C$6)/($C$5*$C$7*6)</f>
        <v>7.9660626763030184E-18</v>
      </c>
      <c r="S46" s="31">
        <f>LOG(R46)</f>
        <v>-17.098756280921233</v>
      </c>
      <c r="T46" s="31">
        <f>O46/M46</f>
        <v>1.0685701950147402</v>
      </c>
    </row>
    <row r="47" spans="1:20" x14ac:dyDescent="0.35">
      <c r="A47" s="35">
        <v>2</v>
      </c>
      <c r="B47" s="32">
        <v>43669</v>
      </c>
      <c r="C47" s="33">
        <v>0.55208333333333337</v>
      </c>
      <c r="D47" s="34">
        <f>D46+3+35/60</f>
        <v>4.083333333333333</v>
      </c>
      <c r="E47" s="31">
        <v>4.93</v>
      </c>
      <c r="F47" s="35">
        <v>13.782999999999999</v>
      </c>
      <c r="G47" s="35">
        <f>F47-E47</f>
        <v>8.8529999999999998</v>
      </c>
      <c r="H47" s="35">
        <v>7.65</v>
      </c>
      <c r="I47" s="35">
        <v>3.7010000000000001</v>
      </c>
      <c r="J47" s="31">
        <v>5.6000000000000001E-2</v>
      </c>
      <c r="K47" s="31">
        <f t="shared" ref="K47:K61" si="11">(J47+I47)/I47</f>
        <v>1.0151310456633342</v>
      </c>
      <c r="L47" s="35">
        <v>1.29003</v>
      </c>
      <c r="M47" s="31">
        <f t="shared" ref="M47:M61" si="12">L47/24.305</f>
        <v>5.3076733182472746E-2</v>
      </c>
      <c r="N47" s="35">
        <v>5.0648</v>
      </c>
      <c r="O47" s="31">
        <f t="shared" ref="O47:O61" si="13">N47/60.08</f>
        <v>8.4300932090545941E-2</v>
      </c>
      <c r="P47" s="31">
        <f t="shared" si="9"/>
        <v>2.6287595720338952E-17</v>
      </c>
      <c r="Q47" s="31">
        <f t="shared" ref="Q47:Q61" si="14">LOG(P47)</f>
        <v>-16.580249132917537</v>
      </c>
      <c r="R47" s="31">
        <f t="shared" si="10"/>
        <v>2.7834780436660596E-17</v>
      </c>
      <c r="S47" s="31">
        <f t="shared" ref="S47:S61" si="15">LOG(R47)</f>
        <v>-16.555412200098836</v>
      </c>
      <c r="T47" s="31">
        <f t="shared" ref="T47:T61" si="16">O47/M47</f>
        <v>1.5882841131297094</v>
      </c>
    </row>
    <row r="48" spans="1:20" x14ac:dyDescent="0.35">
      <c r="A48" s="31">
        <v>3</v>
      </c>
      <c r="B48" s="38">
        <v>43669</v>
      </c>
      <c r="C48" s="33">
        <v>0.71527777777777779</v>
      </c>
      <c r="D48" s="37">
        <f>D47+3-5/60</f>
        <v>7</v>
      </c>
      <c r="E48" s="31">
        <v>4.9400000000000004</v>
      </c>
      <c r="F48" s="35">
        <v>17.018999999999998</v>
      </c>
      <c r="G48" s="35">
        <f t="shared" ref="G48:G61" si="17">F48-E48</f>
        <v>12.078999999999997</v>
      </c>
      <c r="H48" s="35">
        <v>7.68</v>
      </c>
      <c r="I48" s="35">
        <v>5.68</v>
      </c>
      <c r="J48" s="35">
        <v>5.2999999999999999E-2</v>
      </c>
      <c r="K48" s="31">
        <f t="shared" si="11"/>
        <v>1.0093309859154929</v>
      </c>
      <c r="L48" s="35">
        <v>1.4487099999999999</v>
      </c>
      <c r="M48" s="31">
        <f t="shared" si="12"/>
        <v>5.9605430981279572E-2</v>
      </c>
      <c r="N48" s="35">
        <v>5.8285999999999998</v>
      </c>
      <c r="O48" s="31">
        <f t="shared" si="13"/>
        <v>9.7013981358189075E-2</v>
      </c>
      <c r="P48" s="31">
        <f t="shared" si="9"/>
        <v>2.952109857601159E-17</v>
      </c>
      <c r="Q48" s="31">
        <f t="shared" si="14"/>
        <v>-16.529867485039297</v>
      </c>
      <c r="R48" s="31">
        <f t="shared" si="10"/>
        <v>3.2032420086305465E-17</v>
      </c>
      <c r="S48" s="31">
        <f t="shared" si="15"/>
        <v>-16.494410248647327</v>
      </c>
      <c r="T48" s="31">
        <f t="shared" si="16"/>
        <v>1.6276030516188784</v>
      </c>
    </row>
    <row r="49" spans="1:20" x14ac:dyDescent="0.35">
      <c r="A49" s="35">
        <v>4</v>
      </c>
      <c r="B49" s="32">
        <v>43670</v>
      </c>
      <c r="C49" s="33">
        <v>0.36805555555555558</v>
      </c>
      <c r="D49" s="37">
        <f>D46+24-50/60</f>
        <v>23.666666666666668</v>
      </c>
      <c r="E49" s="35">
        <v>4.9130000000000003</v>
      </c>
      <c r="F49" s="35">
        <v>17.297999999999998</v>
      </c>
      <c r="G49" s="35">
        <f t="shared" si="17"/>
        <v>12.384999999999998</v>
      </c>
      <c r="H49" s="35">
        <v>7.79</v>
      </c>
      <c r="I49" s="35">
        <v>5.7350000000000003</v>
      </c>
      <c r="J49" s="35">
        <v>5.6000000000000001E-2</v>
      </c>
      <c r="K49" s="31">
        <f t="shared" si="11"/>
        <v>1.0097646033129903</v>
      </c>
      <c r="L49" s="35">
        <v>1.55352</v>
      </c>
      <c r="M49" s="31">
        <f t="shared" si="12"/>
        <v>6.3917712404854971E-2</v>
      </c>
      <c r="N49" s="35">
        <v>6.5536000000000003</v>
      </c>
      <c r="O49" s="31">
        <f t="shared" si="13"/>
        <v>0.10908122503328896</v>
      </c>
      <c r="P49" s="31">
        <f t="shared" si="9"/>
        <v>3.165686511434692E-17</v>
      </c>
      <c r="Q49" s="31">
        <f t="shared" si="14"/>
        <v>-16.499532094241481</v>
      </c>
      <c r="R49" s="31">
        <f t="shared" si="10"/>
        <v>3.6016825357309052E-17</v>
      </c>
      <c r="S49" s="31">
        <f t="shared" si="15"/>
        <v>-16.443494569988552</v>
      </c>
      <c r="T49" s="31">
        <f t="shared" si="16"/>
        <v>1.7065883763544003</v>
      </c>
    </row>
    <row r="50" spans="1:20" x14ac:dyDescent="0.35">
      <c r="A50" s="31">
        <v>5</v>
      </c>
      <c r="B50" s="38">
        <v>43670</v>
      </c>
      <c r="C50" s="36">
        <v>0.53472222222222221</v>
      </c>
      <c r="D50" s="37">
        <f>D49+4</f>
        <v>27.666666666666668</v>
      </c>
      <c r="E50" s="35">
        <v>4.9470000000000001</v>
      </c>
      <c r="F50" s="35">
        <v>16.791</v>
      </c>
      <c r="G50" s="35">
        <f t="shared" si="17"/>
        <v>11.844000000000001</v>
      </c>
      <c r="H50" s="35">
        <v>7.76</v>
      </c>
      <c r="I50" s="35">
        <v>5.7889999999999997</v>
      </c>
      <c r="J50" s="35">
        <v>0.06</v>
      </c>
      <c r="K50" s="31">
        <f t="shared" si="11"/>
        <v>1.0103644843669026</v>
      </c>
      <c r="L50" s="35">
        <v>1.5474300000000001</v>
      </c>
      <c r="M50" s="31">
        <f t="shared" si="12"/>
        <v>6.3667146677638356E-2</v>
      </c>
      <c r="N50" s="35">
        <v>6.5728</v>
      </c>
      <c r="O50" s="31">
        <f t="shared" si="13"/>
        <v>0.10940079893475367</v>
      </c>
      <c r="P50" s="31">
        <f t="shared" si="9"/>
        <v>3.1532766094993225E-17</v>
      </c>
      <c r="Q50" s="31">
        <f t="shared" si="14"/>
        <v>-16.501237930707831</v>
      </c>
      <c r="R50" s="31">
        <f t="shared" si="10"/>
        <v>3.612234340034804E-17</v>
      </c>
      <c r="S50" s="31">
        <f t="shared" si="15"/>
        <v>-16.442224083031086</v>
      </c>
      <c r="T50" s="31">
        <f t="shared" si="16"/>
        <v>1.7183242008421624</v>
      </c>
    </row>
    <row r="51" spans="1:20" x14ac:dyDescent="0.35">
      <c r="A51" s="35">
        <v>6</v>
      </c>
      <c r="B51" s="32">
        <v>43670</v>
      </c>
      <c r="C51" s="36">
        <v>0.72916666666666663</v>
      </c>
      <c r="D51" s="37">
        <f>D50+4+4/6</f>
        <v>32.333333333333336</v>
      </c>
      <c r="E51" s="35">
        <v>4.9279999999999999</v>
      </c>
      <c r="F51" s="35">
        <v>16.875</v>
      </c>
      <c r="G51" s="35">
        <f t="shared" si="17"/>
        <v>11.946999999999999</v>
      </c>
      <c r="H51" s="35">
        <v>7.8</v>
      </c>
      <c r="I51" s="35">
        <v>5.59</v>
      </c>
      <c r="J51" s="35">
        <v>4.7E-2</v>
      </c>
      <c r="K51" s="31">
        <f t="shared" si="11"/>
        <v>1.0084078711985689</v>
      </c>
      <c r="L51" s="35">
        <v>1.5354300000000001</v>
      </c>
      <c r="M51" s="31">
        <f t="shared" si="12"/>
        <v>6.3173421106768157E-2</v>
      </c>
      <c r="N51" s="35">
        <v>6.5566000000000004</v>
      </c>
      <c r="O51" s="31">
        <f t="shared" si="13"/>
        <v>0.10913115845539283</v>
      </c>
      <c r="P51" s="31">
        <f t="shared" si="9"/>
        <v>3.1288236007596753E-17</v>
      </c>
      <c r="Q51" s="31">
        <f t="shared" si="14"/>
        <v>-16.50461892115429</v>
      </c>
      <c r="R51" s="31">
        <f t="shared" si="10"/>
        <v>3.603331255153389E-17</v>
      </c>
      <c r="S51" s="31">
        <f t="shared" si="15"/>
        <v>-16.443295811240638</v>
      </c>
      <c r="T51" s="31">
        <f t="shared" si="16"/>
        <v>1.7274853339183958</v>
      </c>
    </row>
    <row r="52" spans="1:20" x14ac:dyDescent="0.35">
      <c r="A52" s="31">
        <v>7</v>
      </c>
      <c r="B52" s="32">
        <v>43671</v>
      </c>
      <c r="C52" s="36">
        <v>0.38541666666666669</v>
      </c>
      <c r="D52" s="37">
        <f>D49+24+25/60</f>
        <v>48.083333333333336</v>
      </c>
      <c r="E52" s="35">
        <v>4.9119999999999999</v>
      </c>
      <c r="F52" s="35">
        <v>15.680999999999999</v>
      </c>
      <c r="G52" s="35">
        <f t="shared" si="17"/>
        <v>10.768999999999998</v>
      </c>
      <c r="H52" s="35">
        <v>7.81</v>
      </c>
      <c r="I52" s="35">
        <v>4.8780000000000001</v>
      </c>
      <c r="J52" s="35">
        <v>5.8999999999999997E-2</v>
      </c>
      <c r="K52" s="31">
        <f t="shared" si="11"/>
        <v>1.0120951209512095</v>
      </c>
      <c r="L52" s="35">
        <v>1.41143</v>
      </c>
      <c r="M52" s="31">
        <f t="shared" si="12"/>
        <v>5.8071590207776178E-2</v>
      </c>
      <c r="N52" s="35">
        <v>6.3673000000000002</v>
      </c>
      <c r="O52" s="31">
        <f t="shared" si="13"/>
        <v>0.10598035952063915</v>
      </c>
      <c r="P52" s="31">
        <f t="shared" si="9"/>
        <v>2.8761425104499899E-17</v>
      </c>
      <c r="Q52" s="31">
        <f t="shared" si="14"/>
        <v>-16.541189598828556</v>
      </c>
      <c r="R52" s="31">
        <f t="shared" si="10"/>
        <v>3.4992970595946337E-17</v>
      </c>
      <c r="S52" s="31">
        <f t="shared" si="15"/>
        <v>-16.456019188163957</v>
      </c>
      <c r="T52" s="31">
        <f t="shared" si="16"/>
        <v>1.8249949612443654</v>
      </c>
    </row>
    <row r="53" spans="1:20" x14ac:dyDescent="0.35">
      <c r="A53" s="35">
        <v>8</v>
      </c>
      <c r="B53" s="32">
        <v>43671</v>
      </c>
      <c r="C53" s="36">
        <v>0.55208333333333337</v>
      </c>
      <c r="D53" s="37">
        <f>D52+4</f>
        <v>52.083333333333336</v>
      </c>
      <c r="E53" s="35">
        <v>4.9649999999999999</v>
      </c>
      <c r="F53" s="35">
        <v>16.66</v>
      </c>
      <c r="G53" s="35">
        <f t="shared" si="17"/>
        <v>11.695</v>
      </c>
      <c r="H53" s="35">
        <v>7.78</v>
      </c>
      <c r="I53" s="35">
        <v>5.6130000000000004</v>
      </c>
      <c r="J53" s="35">
        <v>5.8000000000000003E-2</v>
      </c>
      <c r="K53" s="31">
        <f t="shared" si="11"/>
        <v>1.0103331551754855</v>
      </c>
      <c r="L53" s="35">
        <v>1.43601</v>
      </c>
      <c r="M53" s="31">
        <f t="shared" si="12"/>
        <v>5.9082904752108624E-2</v>
      </c>
      <c r="N53" s="35">
        <v>6.3673000000000002</v>
      </c>
      <c r="O53" s="31">
        <f t="shared" si="13"/>
        <v>0.10598035952063915</v>
      </c>
      <c r="P53" s="31">
        <f t="shared" si="9"/>
        <v>2.9262304233517E-17</v>
      </c>
      <c r="Q53" s="31">
        <f t="shared" si="14"/>
        <v>-16.533691478740437</v>
      </c>
      <c r="R53" s="31">
        <f t="shared" si="10"/>
        <v>3.4992970595946337E-17</v>
      </c>
      <c r="S53" s="31">
        <f t="shared" si="15"/>
        <v>-16.456019188163957</v>
      </c>
      <c r="T53" s="31">
        <f t="shared" si="16"/>
        <v>1.7937567552796529</v>
      </c>
    </row>
    <row r="54" spans="1:20" x14ac:dyDescent="0.35">
      <c r="A54" s="31">
        <v>9</v>
      </c>
      <c r="B54" s="32">
        <v>43671</v>
      </c>
      <c r="C54" s="36">
        <v>0.71875</v>
      </c>
      <c r="D54" s="37">
        <f>D53+4</f>
        <v>56.083333333333336</v>
      </c>
      <c r="E54" s="35">
        <v>4.9009999999999998</v>
      </c>
      <c r="F54" s="35">
        <v>16.693999999999999</v>
      </c>
      <c r="G54" s="35">
        <f t="shared" si="17"/>
        <v>11.792999999999999</v>
      </c>
      <c r="H54" s="35">
        <v>7.75</v>
      </c>
      <c r="I54" s="35">
        <v>5.8550000000000004</v>
      </c>
      <c r="J54" s="35">
        <v>5.7000000000000002E-2</v>
      </c>
      <c r="K54" s="31">
        <f t="shared" si="11"/>
        <v>1.0097352690008541</v>
      </c>
      <c r="L54" s="35">
        <v>1.4119299999999999</v>
      </c>
      <c r="M54" s="31">
        <f t="shared" si="12"/>
        <v>5.8092162106562435E-2</v>
      </c>
      <c r="N54" s="35">
        <v>6.3285</v>
      </c>
      <c r="O54" s="31">
        <f t="shared" si="13"/>
        <v>0.10533455392809588</v>
      </c>
      <c r="P54" s="31">
        <f t="shared" si="9"/>
        <v>2.8771613858141413E-17</v>
      </c>
      <c r="Q54" s="31">
        <f t="shared" si="14"/>
        <v>-16.541035776968631</v>
      </c>
      <c r="R54" s="31">
        <f t="shared" si="10"/>
        <v>3.4779736217305043E-17</v>
      </c>
      <c r="S54" s="31">
        <f t="shared" si="15"/>
        <v>-16.458673716174687</v>
      </c>
      <c r="T54" s="31">
        <f t="shared" si="16"/>
        <v>1.8132317701460909</v>
      </c>
    </row>
    <row r="55" spans="1:20" x14ac:dyDescent="0.35">
      <c r="A55" s="35">
        <v>10</v>
      </c>
      <c r="B55" s="32">
        <v>43672</v>
      </c>
      <c r="C55" s="36">
        <v>0.38541666666666669</v>
      </c>
      <c r="D55" s="37">
        <f>D52+24</f>
        <v>72.083333333333343</v>
      </c>
      <c r="E55" s="35">
        <v>4.9269999999999996</v>
      </c>
      <c r="F55" s="35">
        <v>17.222000000000001</v>
      </c>
      <c r="G55" s="35">
        <f t="shared" si="17"/>
        <v>12.295000000000002</v>
      </c>
      <c r="H55" s="35">
        <v>7.78</v>
      </c>
      <c r="I55" s="35">
        <v>6.0869999999999997</v>
      </c>
      <c r="J55" s="35">
        <v>6.0999999999999999E-2</v>
      </c>
      <c r="K55" s="31">
        <f t="shared" si="11"/>
        <v>1.0100213569903072</v>
      </c>
      <c r="L55" s="35">
        <v>1.39185</v>
      </c>
      <c r="M55" s="31">
        <f t="shared" si="12"/>
        <v>5.7265994651306315E-2</v>
      </c>
      <c r="N55" s="35">
        <v>6.2558999999999996</v>
      </c>
      <c r="O55" s="31">
        <f t="shared" si="13"/>
        <v>0.10412616511318241</v>
      </c>
      <c r="P55" s="31">
        <f t="shared" si="9"/>
        <v>2.8362433511897989E-17</v>
      </c>
      <c r="Q55" s="31">
        <f t="shared" si="14"/>
        <v>-16.547256509192497</v>
      </c>
      <c r="R55" s="31">
        <f t="shared" si="10"/>
        <v>3.4380746117063852E-17</v>
      </c>
      <c r="S55" s="31">
        <f t="shared" si="15"/>
        <v>-16.463684702663286</v>
      </c>
      <c r="T55" s="31">
        <f t="shared" si="16"/>
        <v>1.8182896454904613</v>
      </c>
    </row>
    <row r="56" spans="1:20" x14ac:dyDescent="0.35">
      <c r="A56" s="31">
        <v>11</v>
      </c>
      <c r="B56" s="32">
        <v>43672</v>
      </c>
      <c r="C56" s="36">
        <v>0.55208333333333337</v>
      </c>
      <c r="D56" s="37">
        <f>D55+4</f>
        <v>76.083333333333343</v>
      </c>
      <c r="E56" s="35">
        <v>4.9420000000000002</v>
      </c>
      <c r="F56" s="35">
        <v>16.446000000000002</v>
      </c>
      <c r="G56" s="35">
        <f t="shared" si="17"/>
        <v>11.504000000000001</v>
      </c>
      <c r="H56" s="35">
        <v>7.8</v>
      </c>
      <c r="I56" s="35">
        <v>5.3140000000000001</v>
      </c>
      <c r="J56" s="35">
        <v>5.6000000000000001E-2</v>
      </c>
      <c r="K56" s="31">
        <f t="shared" si="11"/>
        <v>1.0105382009785473</v>
      </c>
      <c r="L56" s="35">
        <v>1.3508100000000001</v>
      </c>
      <c r="M56" s="31">
        <f t="shared" si="12"/>
        <v>5.5577453198930267E-2</v>
      </c>
      <c r="N56" s="35">
        <v>6.2092999999999998</v>
      </c>
      <c r="O56" s="31">
        <f t="shared" si="13"/>
        <v>0.10335053262316911</v>
      </c>
      <c r="P56" s="31">
        <f t="shared" si="9"/>
        <v>2.7526140613002069E-17</v>
      </c>
      <c r="Q56" s="31">
        <f t="shared" si="14"/>
        <v>-16.560254675928622</v>
      </c>
      <c r="R56" s="31">
        <f t="shared" si="10"/>
        <v>3.4124645033437973E-17</v>
      </c>
      <c r="S56" s="31">
        <f t="shared" si="15"/>
        <v>-16.466931857484401</v>
      </c>
      <c r="T56" s="31">
        <f t="shared" si="16"/>
        <v>1.859576620994903</v>
      </c>
    </row>
    <row r="57" spans="1:20" x14ac:dyDescent="0.35">
      <c r="A57" s="35">
        <v>12</v>
      </c>
      <c r="B57" s="32">
        <v>43674</v>
      </c>
      <c r="C57" s="36">
        <v>0.44444444444444442</v>
      </c>
      <c r="D57" s="37">
        <f>D58-5+25/60</f>
        <v>121.50000000000001</v>
      </c>
      <c r="E57" s="35">
        <v>4.91</v>
      </c>
      <c r="F57" s="35">
        <v>16.263999999999999</v>
      </c>
      <c r="G57" s="35">
        <f t="shared" si="17"/>
        <v>11.353999999999999</v>
      </c>
      <c r="H57" s="35">
        <v>7.81</v>
      </c>
      <c r="I57" s="35">
        <v>5.4530000000000003</v>
      </c>
      <c r="J57" s="35">
        <v>5.5E-2</v>
      </c>
      <c r="K57" s="31">
        <f t="shared" si="11"/>
        <v>1.0100861910874748</v>
      </c>
      <c r="L57" s="35">
        <v>1.22489</v>
      </c>
      <c r="M57" s="31">
        <f t="shared" si="12"/>
        <v>5.0396626208599055E-2</v>
      </c>
      <c r="N57" s="35">
        <v>5.8186</v>
      </c>
      <c r="O57" s="31">
        <f t="shared" si="13"/>
        <v>9.6847536617842872E-2</v>
      </c>
      <c r="P57" s="31">
        <f t="shared" si="9"/>
        <v>2.4960204895921781E-17</v>
      </c>
      <c r="Q57" s="31">
        <f t="shared" si="14"/>
        <v>-16.602751853893341</v>
      </c>
      <c r="R57" s="31">
        <f t="shared" si="10"/>
        <v>3.1977462772222659E-17</v>
      </c>
      <c r="S57" s="31">
        <f t="shared" si="15"/>
        <v>-16.495155997992434</v>
      </c>
      <c r="T57" s="31">
        <f t="shared" si="16"/>
        <v>1.9217067471337597</v>
      </c>
    </row>
    <row r="58" spans="1:20" x14ac:dyDescent="0.35">
      <c r="A58" s="31">
        <v>13</v>
      </c>
      <c r="B58" s="32">
        <v>43674</v>
      </c>
      <c r="C58" s="36">
        <v>0.63541666666666663</v>
      </c>
      <c r="D58" s="37">
        <f>D56+2+24*2</f>
        <v>126.08333333333334</v>
      </c>
      <c r="E58" s="35">
        <v>4.9539999999999997</v>
      </c>
      <c r="F58" s="35">
        <v>14.754</v>
      </c>
      <c r="G58" s="35">
        <f t="shared" si="17"/>
        <v>9.8000000000000007</v>
      </c>
      <c r="H58" s="35">
        <v>7.82</v>
      </c>
      <c r="I58" s="35">
        <v>4.7839999999999998</v>
      </c>
      <c r="J58" s="35">
        <v>4.9000000000000002E-2</v>
      </c>
      <c r="K58" s="31">
        <f t="shared" si="11"/>
        <v>1.0102424749163881</v>
      </c>
      <c r="L58" s="35">
        <v>1.21546</v>
      </c>
      <c r="M58" s="31">
        <f t="shared" si="12"/>
        <v>5.0008640197490226E-2</v>
      </c>
      <c r="N58" s="35">
        <v>5.7774999999999999</v>
      </c>
      <c r="O58" s="31">
        <f t="shared" si="13"/>
        <v>9.6163448735019974E-2</v>
      </c>
      <c r="P58" s="31">
        <f t="shared" si="9"/>
        <v>2.476804500224272E-17</v>
      </c>
      <c r="Q58" s="31">
        <f t="shared" si="14"/>
        <v>-16.60610827190612</v>
      </c>
      <c r="R58" s="31">
        <f t="shared" si="10"/>
        <v>3.1751588211342319E-17</v>
      </c>
      <c r="S58" s="31">
        <f t="shared" si="15"/>
        <v>-16.498234546461102</v>
      </c>
      <c r="T58" s="31">
        <f t="shared" si="16"/>
        <v>1.9229366836462414</v>
      </c>
    </row>
    <row r="59" spans="1:20" x14ac:dyDescent="0.35">
      <c r="A59" s="35">
        <v>14</v>
      </c>
      <c r="B59" s="32">
        <v>43675</v>
      </c>
      <c r="C59" s="36">
        <v>0.40972222222222227</v>
      </c>
      <c r="D59" s="37">
        <f>D57+24-50/60</f>
        <v>144.66666666666666</v>
      </c>
      <c r="E59" s="35">
        <v>4.923</v>
      </c>
      <c r="F59" s="35">
        <v>16.085000000000001</v>
      </c>
      <c r="G59" s="35">
        <f t="shared" si="17"/>
        <v>11.162000000000001</v>
      </c>
      <c r="H59" s="35">
        <v>7.8</v>
      </c>
      <c r="I59" s="35">
        <v>5.2329999999999997</v>
      </c>
      <c r="J59" s="35">
        <v>4.3999999999999997E-2</v>
      </c>
      <c r="K59" s="31">
        <f t="shared" si="11"/>
        <v>1.0084081788648958</v>
      </c>
      <c r="L59" s="35">
        <v>1.1487000000000001</v>
      </c>
      <c r="M59" s="31">
        <f t="shared" si="12"/>
        <v>4.7261880271549067E-2</v>
      </c>
      <c r="N59" s="35">
        <v>5.6806999999999999</v>
      </c>
      <c r="O59" s="31">
        <f t="shared" si="13"/>
        <v>9.4552263648468707E-2</v>
      </c>
      <c r="P59" s="31">
        <f t="shared" si="9"/>
        <v>2.3407642616027033E-17</v>
      </c>
      <c r="Q59" s="31">
        <f t="shared" si="14"/>
        <v>-16.630642321903668</v>
      </c>
      <c r="R59" s="31">
        <f t="shared" si="10"/>
        <v>3.1219601411020738E-17</v>
      </c>
      <c r="S59" s="31">
        <f t="shared" si="15"/>
        <v>-16.505572645991709</v>
      </c>
      <c r="T59" s="31">
        <f t="shared" si="16"/>
        <v>2.0006030886881097</v>
      </c>
    </row>
    <row r="60" spans="1:20" x14ac:dyDescent="0.35">
      <c r="A60" s="31">
        <v>15</v>
      </c>
      <c r="B60" s="32">
        <v>43675</v>
      </c>
      <c r="C60" s="36">
        <v>0.57638888888888895</v>
      </c>
      <c r="D60" s="37">
        <f>D59+4</f>
        <v>148.66666666666666</v>
      </c>
      <c r="E60" s="35">
        <v>4.952</v>
      </c>
      <c r="F60" s="35">
        <v>18.18</v>
      </c>
      <c r="G60" s="35">
        <f t="shared" si="17"/>
        <v>13.228</v>
      </c>
      <c r="H60" s="35">
        <v>7.81</v>
      </c>
      <c r="I60" s="35">
        <v>5.0540000000000003</v>
      </c>
      <c r="J60" s="35">
        <v>5.7000000000000002E-2</v>
      </c>
      <c r="K60" s="31">
        <f t="shared" si="11"/>
        <v>1.0112781954887218</v>
      </c>
      <c r="L60" s="35">
        <v>1.1763300000000001</v>
      </c>
      <c r="M60" s="31">
        <f t="shared" si="12"/>
        <v>4.8398683398477686E-2</v>
      </c>
      <c r="N60" s="35">
        <v>5.6357999999999997</v>
      </c>
      <c r="O60" s="31">
        <f t="shared" si="13"/>
        <v>9.3804926764314248E-2</v>
      </c>
      <c r="P60" s="31">
        <f t="shared" si="9"/>
        <v>2.3970673142257405E-17</v>
      </c>
      <c r="Q60" s="31">
        <f t="shared" si="14"/>
        <v>-16.620319769977062</v>
      </c>
      <c r="R60" s="31">
        <f t="shared" si="10"/>
        <v>3.0972843070788931E-17</v>
      </c>
      <c r="S60" s="31">
        <f t="shared" si="15"/>
        <v>-16.509018927892029</v>
      </c>
      <c r="T60" s="31">
        <f t="shared" si="16"/>
        <v>1.9381710446955001</v>
      </c>
    </row>
    <row r="61" spans="1:20" x14ac:dyDescent="0.35">
      <c r="A61" s="35">
        <v>16</v>
      </c>
      <c r="B61" s="32">
        <v>43675</v>
      </c>
      <c r="C61" s="36">
        <v>0.65972222222222221</v>
      </c>
      <c r="D61" s="37">
        <f>D60+2</f>
        <v>150.66666666666666</v>
      </c>
      <c r="E61" s="35">
        <v>4.93</v>
      </c>
      <c r="F61" s="35">
        <v>16.206</v>
      </c>
      <c r="G61" s="35">
        <f t="shared" si="17"/>
        <v>11.276</v>
      </c>
      <c r="H61" s="35">
        <v>7.81</v>
      </c>
      <c r="I61" s="35">
        <v>5.1719999999999997</v>
      </c>
      <c r="J61" s="35">
        <v>4.2999999999999997E-2</v>
      </c>
      <c r="K61" s="31">
        <f t="shared" si="11"/>
        <v>1.0083139984532097</v>
      </c>
      <c r="L61" s="35">
        <v>1.19479</v>
      </c>
      <c r="M61" s="31">
        <f t="shared" si="12"/>
        <v>4.9158197901666326E-2</v>
      </c>
      <c r="N61" s="35">
        <v>5.5938999999999997</v>
      </c>
      <c r="O61" s="31">
        <f t="shared" si="13"/>
        <v>9.3107523302263642E-2</v>
      </c>
      <c r="P61" s="31">
        <f t="shared" si="9"/>
        <v>2.4346841926702303E-17</v>
      </c>
      <c r="Q61" s="31">
        <f t="shared" si="14"/>
        <v>-16.613557363925931</v>
      </c>
      <c r="R61" s="31">
        <f t="shared" si="10"/>
        <v>3.0742571924781962E-17</v>
      </c>
      <c r="S61" s="31">
        <f t="shared" si="15"/>
        <v>-16.512259802222857</v>
      </c>
      <c r="T61" s="31">
        <f t="shared" si="16"/>
        <v>1.8940385790486343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3E8748-FECE-4107-AF92-806535A95C87}">
  <dimension ref="A1:T58"/>
  <sheetViews>
    <sheetView topLeftCell="A4" workbookViewId="0">
      <selection activeCell="E8" sqref="E8"/>
    </sheetView>
  </sheetViews>
  <sheetFormatPr defaultColWidth="11.6328125" defaultRowHeight="14.5" x14ac:dyDescent="0.35"/>
  <cols>
    <col min="4" max="4" width="13.26953125" bestFit="1" customWidth="1"/>
    <col min="7" max="7" width="19.26953125" bestFit="1" customWidth="1"/>
    <col min="10" max="10" width="13.453125" bestFit="1" customWidth="1"/>
    <col min="11" max="11" width="18.36328125" bestFit="1" customWidth="1"/>
    <col min="12" max="12" width="16.36328125" bestFit="1" customWidth="1"/>
    <col min="15" max="15" width="13.81640625" bestFit="1" customWidth="1"/>
    <col min="16" max="16" width="19.6328125" bestFit="1" customWidth="1"/>
    <col min="17" max="17" width="23.08984375" bestFit="1" customWidth="1"/>
    <col min="18" max="18" width="18.36328125" bestFit="1" customWidth="1"/>
    <col min="19" max="19" width="21.81640625" bestFit="1" customWidth="1"/>
    <col min="20" max="20" width="19.6328125" bestFit="1" customWidth="1"/>
    <col min="21" max="21" width="23.08984375" bestFit="1" customWidth="1"/>
    <col min="22" max="22" width="18.36328125" bestFit="1" customWidth="1"/>
    <col min="23" max="23" width="21.81640625" bestFit="1" customWidth="1"/>
    <col min="24" max="24" width="11.453125" bestFit="1" customWidth="1"/>
  </cols>
  <sheetData>
    <row r="1" spans="1:20" ht="18.5" x14ac:dyDescent="0.45">
      <c r="A1" s="1" t="s">
        <v>67</v>
      </c>
    </row>
    <row r="2" spans="1:20" x14ac:dyDescent="0.35">
      <c r="A2" s="2" t="s">
        <v>0</v>
      </c>
      <c r="C2" s="3"/>
    </row>
    <row r="3" spans="1:20" x14ac:dyDescent="0.35">
      <c r="A3" s="2" t="s">
        <v>1</v>
      </c>
    </row>
    <row r="4" spans="1:20" x14ac:dyDescent="0.35">
      <c r="A4" s="2" t="s">
        <v>2</v>
      </c>
    </row>
    <row r="5" spans="1:20" x14ac:dyDescent="0.35">
      <c r="A5" s="2" t="s">
        <v>3</v>
      </c>
      <c r="C5">
        <f>9.09+0.817-9.103</f>
        <v>0.80400000000000027</v>
      </c>
    </row>
    <row r="6" spans="1:20" x14ac:dyDescent="0.35">
      <c r="A6" s="2" t="s">
        <v>4</v>
      </c>
      <c r="C6">
        <f>AVERAGE(G20:G25)/(90*60)</f>
        <v>1.6766358024691362E-3</v>
      </c>
    </row>
    <row r="7" spans="1:20" ht="15" thickBot="1" x14ac:dyDescent="0.4">
      <c r="A7" s="2" t="s">
        <v>5</v>
      </c>
      <c r="C7">
        <v>2140000</v>
      </c>
    </row>
    <row r="8" spans="1:20" x14ac:dyDescent="0.35">
      <c r="A8" s="4" t="s">
        <v>6</v>
      </c>
      <c r="B8" s="5"/>
      <c r="C8" s="6">
        <f>AVERAGE(Q25:Q26)</f>
        <v>-16.691359034949905</v>
      </c>
    </row>
    <row r="9" spans="1:20" ht="15" thickBot="1" x14ac:dyDescent="0.4">
      <c r="A9" s="7" t="s">
        <v>7</v>
      </c>
      <c r="B9" s="8"/>
      <c r="C9" s="9">
        <f>AVERAGE(S24:S25)</f>
        <v>-16.571664074700518</v>
      </c>
    </row>
    <row r="11" spans="1:20" x14ac:dyDescent="0.35">
      <c r="A11" s="56" t="s">
        <v>8</v>
      </c>
      <c r="B11" s="57"/>
      <c r="C11" s="57"/>
      <c r="D11" s="57"/>
      <c r="E11" s="58" t="s">
        <v>9</v>
      </c>
      <c r="F11" s="58"/>
      <c r="G11" s="58"/>
      <c r="H11" s="59"/>
      <c r="I11" s="59"/>
      <c r="J11" s="59"/>
      <c r="K11" s="60" t="s">
        <v>10</v>
      </c>
      <c r="L11" s="61" t="s">
        <v>11</v>
      </c>
      <c r="M11" s="62"/>
      <c r="N11" s="62"/>
      <c r="O11" s="62"/>
      <c r="P11" s="63" t="s">
        <v>12</v>
      </c>
      <c r="Q11" s="64"/>
      <c r="R11" s="64"/>
      <c r="S11" s="64"/>
      <c r="T11" s="64"/>
    </row>
    <row r="12" spans="1:20" x14ac:dyDescent="0.35">
      <c r="A12" s="65" t="s">
        <v>13</v>
      </c>
      <c r="B12" s="65" t="s">
        <v>14</v>
      </c>
      <c r="C12" s="65" t="s">
        <v>15</v>
      </c>
      <c r="D12" s="65" t="s">
        <v>16</v>
      </c>
      <c r="E12" s="66" t="s">
        <v>17</v>
      </c>
      <c r="F12" s="66" t="s">
        <v>18</v>
      </c>
      <c r="G12" s="66" t="s">
        <v>59</v>
      </c>
      <c r="H12" s="66" t="s">
        <v>20</v>
      </c>
      <c r="I12" s="66" t="s">
        <v>21</v>
      </c>
      <c r="J12" s="66" t="s">
        <v>22</v>
      </c>
      <c r="K12" s="67" t="s">
        <v>60</v>
      </c>
      <c r="L12" s="28" t="s">
        <v>28</v>
      </c>
      <c r="M12" s="28" t="s">
        <v>29</v>
      </c>
      <c r="N12" s="28" t="s">
        <v>30</v>
      </c>
      <c r="O12" s="28" t="s">
        <v>31</v>
      </c>
      <c r="P12" s="68" t="s">
        <v>32</v>
      </c>
      <c r="Q12" s="68" t="s">
        <v>33</v>
      </c>
      <c r="R12" s="68" t="s">
        <v>34</v>
      </c>
      <c r="S12" s="68" t="s">
        <v>35</v>
      </c>
      <c r="T12" s="64" t="s">
        <v>36</v>
      </c>
    </row>
    <row r="13" spans="1:20" x14ac:dyDescent="0.35">
      <c r="A13" s="31">
        <v>1</v>
      </c>
      <c r="B13" s="38">
        <v>43677</v>
      </c>
      <c r="C13" s="33">
        <v>0.3888888888888889</v>
      </c>
      <c r="D13" s="34">
        <f>0.5</f>
        <v>0.5</v>
      </c>
      <c r="E13" s="31">
        <v>4.9219999999999997</v>
      </c>
      <c r="F13" s="31">
        <v>12.686</v>
      </c>
      <c r="G13" s="35">
        <f>F13-E13</f>
        <v>7.7640000000000002</v>
      </c>
      <c r="H13" s="31">
        <v>7.56</v>
      </c>
      <c r="I13" s="31">
        <v>3.544</v>
      </c>
      <c r="J13" s="31">
        <v>3.1E-2</v>
      </c>
      <c r="K13" s="31">
        <f>(J13+I13)/I13</f>
        <v>1.0087471783295712</v>
      </c>
      <c r="L13" s="31">
        <v>0.77323799999999998</v>
      </c>
      <c r="M13" s="31">
        <f>L13/24.305</f>
        <v>3.1813947747377079E-2</v>
      </c>
      <c r="N13" s="31">
        <v>1.9895</v>
      </c>
      <c r="O13" s="31">
        <f>N13/60.08</f>
        <v>3.3114181091877498E-2</v>
      </c>
      <c r="P13" s="31">
        <f t="shared" ref="P13:P26" si="0">(M13*10^(-6)*$C$6)/($C$5*$C$7*4)</f>
        <v>7.7504422704140976E-18</v>
      </c>
      <c r="Q13" s="31">
        <f>LOG(P13)</f>
        <v>-17.110673514252404</v>
      </c>
      <c r="R13" s="31">
        <f t="shared" ref="R13:R26" si="1">(O13*10^(-6)*$C$6)/($C$5*$C$7*6)</f>
        <v>5.3781347921692448E-18</v>
      </c>
      <c r="S13" s="31">
        <f>LOG(R13)</f>
        <v>-17.269368317255573</v>
      </c>
      <c r="T13" s="31">
        <f>O13/M13</f>
        <v>1.0408699151336105</v>
      </c>
    </row>
    <row r="14" spans="1:20" x14ac:dyDescent="0.35">
      <c r="A14" s="35">
        <v>2</v>
      </c>
      <c r="B14" s="32">
        <v>43677</v>
      </c>
      <c r="C14" s="33">
        <v>0.54166666666666663</v>
      </c>
      <c r="D14" s="34">
        <f>D13+4-20/60</f>
        <v>4.166666666666667</v>
      </c>
      <c r="E14" s="31">
        <v>4.9450000000000003</v>
      </c>
      <c r="F14" s="35">
        <v>14.217000000000001</v>
      </c>
      <c r="G14" s="35">
        <f>F14-E14</f>
        <v>9.2720000000000002</v>
      </c>
      <c r="H14" s="35">
        <v>7.77</v>
      </c>
      <c r="I14" s="35">
        <v>4.0739999999999998</v>
      </c>
      <c r="J14" s="31">
        <v>3.3000000000000002E-2</v>
      </c>
      <c r="K14" s="31">
        <f t="shared" ref="K14:K26" si="2">(J14+I14)/I14</f>
        <v>1.0081001472754052</v>
      </c>
      <c r="L14" s="35">
        <v>1.45133</v>
      </c>
      <c r="M14" s="31">
        <f t="shared" ref="M14:M26" si="3">L14/24.305</f>
        <v>5.9713227730919562E-2</v>
      </c>
      <c r="N14" s="35">
        <v>5.0460000000000003</v>
      </c>
      <c r="O14" s="31">
        <f t="shared" ref="O14:O26" si="4">N14/60.08</f>
        <v>8.3988015978695083E-2</v>
      </c>
      <c r="P14" s="31">
        <f t="shared" si="0"/>
        <v>1.4547202000315678E-17</v>
      </c>
      <c r="Q14" s="31">
        <f t="shared" ref="Q14:Q26" si="5">LOG(P14)</f>
        <v>-16.837220530573397</v>
      </c>
      <c r="R14" s="31">
        <f t="shared" si="1"/>
        <v>1.3640647479912546E-17</v>
      </c>
      <c r="S14" s="31">
        <f t="shared" ref="S14:S26" si="6">LOG(R14)</f>
        <v>-16.865165014556425</v>
      </c>
      <c r="T14" s="31">
        <f t="shared" ref="T14:T26" si="7">O14/M14</f>
        <v>1.4065227952031476</v>
      </c>
    </row>
    <row r="15" spans="1:20" x14ac:dyDescent="0.35">
      <c r="A15" s="31">
        <v>3</v>
      </c>
      <c r="B15" s="38">
        <v>43677</v>
      </c>
      <c r="C15" s="33">
        <v>0.70138888888888884</v>
      </c>
      <c r="D15" s="37">
        <f>D14+3+5/6</f>
        <v>8</v>
      </c>
      <c r="E15" s="31">
        <v>4.9459999999999997</v>
      </c>
      <c r="F15" s="35">
        <v>14.228</v>
      </c>
      <c r="G15" s="35">
        <f t="shared" ref="G15:G26" si="8">F15-E15</f>
        <v>9.282</v>
      </c>
      <c r="H15" s="35">
        <v>7.79</v>
      </c>
      <c r="I15" s="35">
        <v>4.1079999999999997</v>
      </c>
      <c r="J15" s="35">
        <v>0.3</v>
      </c>
      <c r="K15" s="31">
        <f t="shared" si="2"/>
        <v>1.0730282375851996</v>
      </c>
      <c r="L15" s="35">
        <v>1.78996</v>
      </c>
      <c r="M15" s="31">
        <f t="shared" si="3"/>
        <v>7.3645751902900639E-2</v>
      </c>
      <c r="N15" s="35">
        <v>6.5331999999999999</v>
      </c>
      <c r="O15" s="31">
        <f t="shared" si="4"/>
        <v>0.10874167776298269</v>
      </c>
      <c r="P15" s="31">
        <f t="shared" si="0"/>
        <v>1.7941412147812731E-17</v>
      </c>
      <c r="Q15" s="31">
        <f t="shared" si="5"/>
        <v>-16.746143377129915</v>
      </c>
      <c r="R15" s="31">
        <f t="shared" si="1"/>
        <v>1.7660935020960097E-17</v>
      </c>
      <c r="S15" s="31">
        <f t="shared" si="6"/>
        <v>-16.752986307344301</v>
      </c>
      <c r="T15" s="31">
        <f t="shared" si="7"/>
        <v>1.476550581034936</v>
      </c>
    </row>
    <row r="16" spans="1:20" x14ac:dyDescent="0.35">
      <c r="A16" s="35">
        <v>4</v>
      </c>
      <c r="B16" s="32">
        <v>43678</v>
      </c>
      <c r="C16" s="33">
        <v>0.3923611111111111</v>
      </c>
      <c r="D16" s="37">
        <f>D14+20+25/60</f>
        <v>24.583333333333336</v>
      </c>
      <c r="E16" s="35">
        <v>4.9009999999999998</v>
      </c>
      <c r="F16" s="35">
        <v>14.023999999999999</v>
      </c>
      <c r="G16" s="35">
        <f t="shared" si="8"/>
        <v>9.1229999999999993</v>
      </c>
      <c r="H16" s="35">
        <v>7.7</v>
      </c>
      <c r="I16" s="35">
        <v>4.0090000000000003</v>
      </c>
      <c r="J16" s="35">
        <v>2.9000000000000001E-2</v>
      </c>
      <c r="K16" s="31">
        <f t="shared" si="2"/>
        <v>1.0072337241207283</v>
      </c>
      <c r="L16" s="35">
        <v>2.26105</v>
      </c>
      <c r="M16" s="31">
        <f t="shared" si="3"/>
        <v>9.3028183501337181E-2</v>
      </c>
      <c r="N16" s="35">
        <v>9.2974999999999994</v>
      </c>
      <c r="O16" s="31">
        <f t="shared" si="4"/>
        <v>0.15475199733688416</v>
      </c>
      <c r="P16" s="31">
        <f t="shared" si="0"/>
        <v>2.2663316463391348E-17</v>
      </c>
      <c r="Q16" s="31">
        <f t="shared" si="5"/>
        <v>-16.644676536822157</v>
      </c>
      <c r="R16" s="31">
        <f t="shared" si="1"/>
        <v>2.5133555280318452E-17</v>
      </c>
      <c r="S16" s="31">
        <f t="shared" si="6"/>
        <v>-16.599746073706971</v>
      </c>
      <c r="T16" s="31">
        <f t="shared" si="7"/>
        <v>1.6634958516056564</v>
      </c>
    </row>
    <row r="17" spans="1:20" x14ac:dyDescent="0.35">
      <c r="A17" s="31">
        <v>5</v>
      </c>
      <c r="B17" s="38">
        <v>43678</v>
      </c>
      <c r="C17" s="36">
        <v>0.66666666666666663</v>
      </c>
      <c r="D17" s="37">
        <f>D16+7-25/60</f>
        <v>31.166666666666668</v>
      </c>
      <c r="E17" s="35">
        <v>4.9329999999999998</v>
      </c>
      <c r="F17" s="35">
        <v>14.17</v>
      </c>
      <c r="G17" s="35">
        <f t="shared" si="8"/>
        <v>9.2370000000000001</v>
      </c>
      <c r="H17" s="35">
        <v>7.68</v>
      </c>
      <c r="I17" s="35">
        <v>4.9589999999999996</v>
      </c>
      <c r="J17" s="35">
        <v>2.9000000000000001E-2</v>
      </c>
      <c r="K17" s="31">
        <f t="shared" si="2"/>
        <v>1.0058479532163742</v>
      </c>
      <c r="L17" s="35">
        <v>2.4170699999999998</v>
      </c>
      <c r="M17" s="31">
        <f t="shared" si="3"/>
        <v>9.9447438798601101E-2</v>
      </c>
      <c r="N17" s="35">
        <v>9.7088999999999999</v>
      </c>
      <c r="O17" s="31">
        <f t="shared" si="4"/>
        <v>0.16159953395472704</v>
      </c>
      <c r="P17" s="31">
        <f t="shared" si="0"/>
        <v>2.4227160975727784E-17</v>
      </c>
      <c r="Q17" s="31">
        <f t="shared" si="5"/>
        <v>-16.615697475041802</v>
      </c>
      <c r="R17" s="31">
        <f t="shared" si="1"/>
        <v>2.624567624211711E-17</v>
      </c>
      <c r="S17" s="31">
        <f t="shared" si="6"/>
        <v>-16.580942232785866</v>
      </c>
      <c r="T17" s="31">
        <f t="shared" si="7"/>
        <v>1.6249743171565743</v>
      </c>
    </row>
    <row r="18" spans="1:20" x14ac:dyDescent="0.35">
      <c r="A18" s="35">
        <v>6</v>
      </c>
      <c r="B18" s="32">
        <v>43679</v>
      </c>
      <c r="C18" s="36">
        <v>0.375</v>
      </c>
      <c r="D18" s="37">
        <f>D16+24-25/60</f>
        <v>48.166666666666671</v>
      </c>
      <c r="E18" s="35">
        <v>4.9340000000000002</v>
      </c>
      <c r="F18" s="35">
        <v>14.042999999999999</v>
      </c>
      <c r="G18" s="35">
        <f t="shared" si="8"/>
        <v>9.1089999999999982</v>
      </c>
      <c r="H18" s="35">
        <v>7.69</v>
      </c>
      <c r="I18" s="35">
        <v>4.0179999999999998</v>
      </c>
      <c r="J18" s="35">
        <v>0.03</v>
      </c>
      <c r="K18" s="31">
        <f t="shared" si="2"/>
        <v>1.0074664011946242</v>
      </c>
      <c r="L18" s="35">
        <v>2.4730699999999999</v>
      </c>
      <c r="M18" s="31">
        <f t="shared" si="3"/>
        <v>0.10175149146266201</v>
      </c>
      <c r="N18" s="35">
        <v>10.354699999999999</v>
      </c>
      <c r="O18" s="31">
        <f t="shared" si="4"/>
        <v>0.17234853528628494</v>
      </c>
      <c r="P18" s="31">
        <f t="shared" si="0"/>
        <v>2.4788469094500004E-17</v>
      </c>
      <c r="Q18" s="31">
        <f t="shared" si="5"/>
        <v>-16.60575029389943</v>
      </c>
      <c r="R18" s="31">
        <f t="shared" si="1"/>
        <v>2.799144123270916E-17</v>
      </c>
      <c r="S18" s="31">
        <f t="shared" si="6"/>
        <v>-16.552974739858286</v>
      </c>
      <c r="T18" s="31">
        <f t="shared" si="7"/>
        <v>1.6938182704626863</v>
      </c>
    </row>
    <row r="19" spans="1:20" x14ac:dyDescent="0.35">
      <c r="A19" s="31">
        <v>7</v>
      </c>
      <c r="B19" s="32">
        <v>43679</v>
      </c>
      <c r="C19" s="36">
        <v>0.66666666666666663</v>
      </c>
      <c r="D19" s="37">
        <f>D18+7</f>
        <v>55.166666666666671</v>
      </c>
      <c r="E19" s="35">
        <v>4.9039999999999999</v>
      </c>
      <c r="F19" s="35">
        <v>14.038</v>
      </c>
      <c r="G19" s="35">
        <f t="shared" si="8"/>
        <v>9.1340000000000003</v>
      </c>
      <c r="H19" s="35">
        <v>7.7</v>
      </c>
      <c r="I19" s="35">
        <v>4.0990000000000002</v>
      </c>
      <c r="J19" s="35">
        <v>2.9000000000000001E-2</v>
      </c>
      <c r="K19" s="31">
        <f t="shared" si="2"/>
        <v>1.0070748963161746</v>
      </c>
      <c r="L19" s="35">
        <v>2.4521700000000002</v>
      </c>
      <c r="M19" s="31">
        <f t="shared" si="3"/>
        <v>0.10089158609339643</v>
      </c>
      <c r="N19" s="35">
        <v>10.452400000000001</v>
      </c>
      <c r="O19" s="31"/>
      <c r="P19" s="31">
        <f t="shared" si="0"/>
        <v>2.4578980885886805E-17</v>
      </c>
      <c r="Q19" s="31">
        <f t="shared" si="5"/>
        <v>-16.609436128154663</v>
      </c>
      <c r="R19" s="31"/>
      <c r="S19" s="31" t="e">
        <f t="shared" si="6"/>
        <v>#NUM!</v>
      </c>
      <c r="T19" s="31">
        <f t="shared" si="7"/>
        <v>0</v>
      </c>
    </row>
    <row r="20" spans="1:20" x14ac:dyDescent="0.35">
      <c r="A20" s="35">
        <v>8</v>
      </c>
      <c r="B20" s="32">
        <v>43680</v>
      </c>
      <c r="C20" s="36">
        <v>0.47916666666666669</v>
      </c>
      <c r="D20" s="37">
        <f>D18+24+2.5</f>
        <v>74.666666666666671</v>
      </c>
      <c r="E20" s="35">
        <v>4.9509999999999996</v>
      </c>
      <c r="F20" s="35">
        <v>14.04</v>
      </c>
      <c r="G20" s="35">
        <f t="shared" si="8"/>
        <v>9.0889999999999986</v>
      </c>
      <c r="H20" s="35">
        <v>7.75</v>
      </c>
      <c r="I20" s="35">
        <v>3.8940000000000001</v>
      </c>
      <c r="J20" s="35">
        <v>3.2000000000000001E-2</v>
      </c>
      <c r="K20" s="31">
        <f t="shared" si="2"/>
        <v>1.0082177709296354</v>
      </c>
      <c r="L20" s="35">
        <v>2.4045000000000001</v>
      </c>
      <c r="M20" s="31">
        <f t="shared" si="3"/>
        <v>9.8930261263114591E-2</v>
      </c>
      <c r="N20" s="35">
        <v>10.555</v>
      </c>
      <c r="O20" s="31">
        <f t="shared" si="4"/>
        <v>0.17568242343541945</v>
      </c>
      <c r="P20" s="31">
        <f t="shared" si="0"/>
        <v>2.4101167349781959E-17</v>
      </c>
      <c r="Q20" s="31">
        <f t="shared" si="5"/>
        <v>-16.617961921686923</v>
      </c>
      <c r="R20" s="31">
        <f t="shared" si="1"/>
        <v>2.8532904112262578E-17</v>
      </c>
      <c r="S20" s="31">
        <f t="shared" si="6"/>
        <v>-16.544654023094306</v>
      </c>
      <c r="T20" s="31">
        <f t="shared" si="7"/>
        <v>1.7758208781858471</v>
      </c>
    </row>
    <row r="21" spans="1:20" x14ac:dyDescent="0.35">
      <c r="A21" s="31">
        <v>9</v>
      </c>
      <c r="B21" s="32">
        <v>43681</v>
      </c>
      <c r="C21" s="36">
        <v>0.4236111111111111</v>
      </c>
      <c r="D21" s="37">
        <f>D20+23-2/6</f>
        <v>97.333333333333343</v>
      </c>
      <c r="E21" s="35">
        <v>4.9429999999999996</v>
      </c>
      <c r="F21" s="35">
        <v>13.726000000000001</v>
      </c>
      <c r="G21" s="35">
        <f t="shared" si="8"/>
        <v>8.7830000000000013</v>
      </c>
      <c r="H21" s="35">
        <v>7.76</v>
      </c>
      <c r="I21" s="35">
        <v>4.6840000000000002</v>
      </c>
      <c r="J21" s="35">
        <v>2.1000000000000001E-2</v>
      </c>
      <c r="K21" s="31">
        <f t="shared" si="2"/>
        <v>1.0044833475661827</v>
      </c>
      <c r="L21" s="35">
        <v>2.3468599999999999</v>
      </c>
      <c r="M21" s="31">
        <f t="shared" si="3"/>
        <v>9.6558732771034772E-2</v>
      </c>
      <c r="N21" s="35">
        <v>10.2858</v>
      </c>
      <c r="O21" s="31">
        <f t="shared" si="4"/>
        <v>0.17120173102529962</v>
      </c>
      <c r="P21" s="31">
        <f t="shared" si="0"/>
        <v>2.3523420921817132E-17</v>
      </c>
      <c r="Q21" s="31">
        <f t="shared" si="5"/>
        <v>-16.628499520204997</v>
      </c>
      <c r="R21" s="31">
        <f t="shared" si="1"/>
        <v>2.7805186652573223E-17</v>
      </c>
      <c r="S21" s="31">
        <f t="shared" si="6"/>
        <v>-16.555874185215366</v>
      </c>
      <c r="T21" s="31">
        <f t="shared" si="7"/>
        <v>1.7730320822588084</v>
      </c>
    </row>
    <row r="22" spans="1:20" x14ac:dyDescent="0.35">
      <c r="A22" s="35">
        <v>10</v>
      </c>
      <c r="B22" s="32">
        <v>43682</v>
      </c>
      <c r="C22" s="36">
        <v>0.40277777777777773</v>
      </c>
      <c r="D22" s="37">
        <f>D21+24-0.5</f>
        <v>120.83333333333334</v>
      </c>
      <c r="E22" s="35">
        <v>4.9459999999999997</v>
      </c>
      <c r="F22" s="35">
        <v>13.923999999999999</v>
      </c>
      <c r="G22" s="35">
        <f t="shared" si="8"/>
        <v>8.9779999999999998</v>
      </c>
      <c r="H22" s="35">
        <v>7.81</v>
      </c>
      <c r="I22" s="35">
        <v>4.3070000000000004</v>
      </c>
      <c r="J22" s="35">
        <v>5.0999999999999997E-2</v>
      </c>
      <c r="K22" s="31">
        <f t="shared" si="2"/>
        <v>1.0118411887624796</v>
      </c>
      <c r="L22" s="35">
        <v>2.17624</v>
      </c>
      <c r="M22" s="31">
        <f t="shared" si="3"/>
        <v>8.9538778029212091E-2</v>
      </c>
      <c r="N22" s="35">
        <v>10.1441</v>
      </c>
      <c r="O22" s="31">
        <f t="shared" si="4"/>
        <v>0.16884320905459388</v>
      </c>
      <c r="P22" s="31">
        <f t="shared" si="0"/>
        <v>2.1813235364229351E-17</v>
      </c>
      <c r="Q22" s="31">
        <f t="shared" si="5"/>
        <v>-16.661279914585283</v>
      </c>
      <c r="R22" s="31">
        <f t="shared" si="1"/>
        <v>2.7422134780218167E-17</v>
      </c>
      <c r="S22" s="31">
        <f t="shared" si="6"/>
        <v>-16.561898738927244</v>
      </c>
      <c r="T22" s="31">
        <f t="shared" si="7"/>
        <v>1.8856992776862407</v>
      </c>
    </row>
    <row r="23" spans="1:20" x14ac:dyDescent="0.35">
      <c r="A23" s="31">
        <v>11</v>
      </c>
      <c r="B23" s="32">
        <v>43682</v>
      </c>
      <c r="C23" s="36">
        <v>0.66666666666666663</v>
      </c>
      <c r="D23" s="37">
        <f>D19+3*24</f>
        <v>127.16666666666667</v>
      </c>
      <c r="E23" s="35">
        <v>4.9509999999999996</v>
      </c>
      <c r="F23" s="35">
        <v>14.239000000000001</v>
      </c>
      <c r="G23" s="35">
        <f t="shared" si="8"/>
        <v>9.2880000000000003</v>
      </c>
      <c r="H23" s="35">
        <v>7.78</v>
      </c>
      <c r="I23" s="35">
        <v>4.34</v>
      </c>
      <c r="J23" s="35">
        <v>5.2999999999999999E-2</v>
      </c>
      <c r="K23" s="31">
        <f t="shared" si="2"/>
        <v>1.0122119815668202</v>
      </c>
      <c r="L23" s="35">
        <v>2.1799300000000001</v>
      </c>
      <c r="M23" s="31">
        <f t="shared" si="3"/>
        <v>8.969059864225469E-2</v>
      </c>
      <c r="N23" s="35">
        <v>10.0092</v>
      </c>
      <c r="O23" s="31">
        <f t="shared" si="4"/>
        <v>0.16659786950732358</v>
      </c>
      <c r="P23" s="31">
        <f t="shared" si="0"/>
        <v>2.1850221559912743E-17</v>
      </c>
      <c r="Q23" s="31">
        <f t="shared" si="5"/>
        <v>-16.660544154951697</v>
      </c>
      <c r="R23" s="31">
        <f t="shared" si="1"/>
        <v>2.7057465072520941E-17</v>
      </c>
      <c r="S23" s="31">
        <f t="shared" si="6"/>
        <v>-16.567712893495408</v>
      </c>
      <c r="T23" s="31">
        <f t="shared" si="7"/>
        <v>1.8574730465544762</v>
      </c>
    </row>
    <row r="24" spans="1:20" x14ac:dyDescent="0.35">
      <c r="A24" s="31">
        <v>12</v>
      </c>
      <c r="B24" s="32">
        <v>43683</v>
      </c>
      <c r="C24" s="36">
        <v>0.40277777777777773</v>
      </c>
      <c r="D24" s="37">
        <f>D22+24</f>
        <v>144.83333333333334</v>
      </c>
      <c r="E24" s="35">
        <v>4.9630000000000001</v>
      </c>
      <c r="F24" s="35">
        <v>14.055999999999999</v>
      </c>
      <c r="G24" s="35">
        <f t="shared" si="8"/>
        <v>9.093</v>
      </c>
      <c r="H24" s="35">
        <v>7.78</v>
      </c>
      <c r="I24" s="35">
        <v>3.8839999999999999</v>
      </c>
      <c r="J24" s="35">
        <v>4.9000000000000002E-2</v>
      </c>
      <c r="K24" s="31">
        <f t="shared" si="2"/>
        <v>1.012615859938208</v>
      </c>
      <c r="L24" s="35">
        <v>2.1540900000000001</v>
      </c>
      <c r="M24" s="31">
        <f t="shared" si="3"/>
        <v>8.8627442912980872E-2</v>
      </c>
      <c r="N24" s="35">
        <v>9.9178999999999995</v>
      </c>
      <c r="O24" s="31">
        <f t="shared" si="4"/>
        <v>0.16507822902796271</v>
      </c>
      <c r="P24" s="31">
        <f t="shared" si="0"/>
        <v>2.159121795653642E-17</v>
      </c>
      <c r="Q24" s="31">
        <f t="shared" si="5"/>
        <v>-16.665722858504878</v>
      </c>
      <c r="R24" s="31">
        <f t="shared" si="1"/>
        <v>2.6810657479394497E-17</v>
      </c>
      <c r="S24" s="31">
        <f>LOG(R24)</f>
        <v>-16.571692535656368</v>
      </c>
      <c r="T24" s="31"/>
    </row>
    <row r="25" spans="1:20" x14ac:dyDescent="0.35">
      <c r="A25" s="31">
        <v>13</v>
      </c>
      <c r="B25" s="32">
        <v>43683</v>
      </c>
      <c r="C25" s="36">
        <v>0.66666666666666663</v>
      </c>
      <c r="D25" s="37">
        <f>D23+24</f>
        <v>151.16666666666669</v>
      </c>
      <c r="E25" s="35">
        <v>4.9169999999999998</v>
      </c>
      <c r="F25" s="35">
        <v>14.009</v>
      </c>
      <c r="G25" s="35">
        <f t="shared" si="8"/>
        <v>9.0920000000000005</v>
      </c>
      <c r="H25" s="35">
        <v>7.78</v>
      </c>
      <c r="I25" s="35">
        <v>4.2720000000000002</v>
      </c>
      <c r="J25" s="35">
        <v>5.0999999999999997E-2</v>
      </c>
      <c r="K25" s="31">
        <f t="shared" si="2"/>
        <v>1.011938202247191</v>
      </c>
      <c r="L25" s="35">
        <v>2.04251</v>
      </c>
      <c r="M25" s="31">
        <f t="shared" si="3"/>
        <v>8.4036617979839537E-2</v>
      </c>
      <c r="N25" s="35">
        <v>9.9192</v>
      </c>
      <c r="O25" s="31">
        <f t="shared" si="4"/>
        <v>0.16509986684420772</v>
      </c>
      <c r="P25" s="31">
        <f>(M25*10^(-6)*$C$6)/($C$5*$C$7*4)</f>
        <v>2.0472811529882779E-17</v>
      </c>
      <c r="Q25" s="31">
        <f t="shared" si="5"/>
        <v>-16.688822511608727</v>
      </c>
      <c r="R25" s="31">
        <f t="shared" si="1"/>
        <v>2.6814171716755552E-17</v>
      </c>
      <c r="S25" s="31">
        <f t="shared" si="6"/>
        <v>-16.571635613744668</v>
      </c>
      <c r="T25" s="31">
        <f t="shared" si="7"/>
        <v>1.9646181725663368</v>
      </c>
    </row>
    <row r="26" spans="1:20" x14ac:dyDescent="0.35">
      <c r="A26" s="35">
        <v>14</v>
      </c>
      <c r="B26" s="32">
        <v>43684</v>
      </c>
      <c r="C26" s="36">
        <v>0.38541666666666669</v>
      </c>
      <c r="D26" s="37">
        <f>D24+24-25/60</f>
        <v>168.41666666666669</v>
      </c>
      <c r="E26" s="35">
        <v>4.9329999999999998</v>
      </c>
      <c r="F26" s="35">
        <v>13.981999999999999</v>
      </c>
      <c r="G26" s="35">
        <f t="shared" si="8"/>
        <v>9.0489999999999995</v>
      </c>
      <c r="H26" s="35">
        <v>7.71</v>
      </c>
      <c r="I26" s="35">
        <v>3.9860000000000002</v>
      </c>
      <c r="J26" s="35">
        <v>5.0999999999999997E-2</v>
      </c>
      <c r="K26" s="31">
        <f t="shared" si="2"/>
        <v>1.0127947817360763</v>
      </c>
      <c r="L26" s="35">
        <v>2.0187900000000001</v>
      </c>
      <c r="M26" s="31">
        <f t="shared" si="3"/>
        <v>8.3060687101419464E-2</v>
      </c>
      <c r="N26" s="35"/>
      <c r="O26" s="31">
        <f t="shared" si="4"/>
        <v>0</v>
      </c>
      <c r="P26" s="31">
        <f t="shared" si="0"/>
        <v>2.0235057448145692E-17</v>
      </c>
      <c r="Q26" s="31">
        <f t="shared" si="5"/>
        <v>-16.693895558291082</v>
      </c>
      <c r="R26" s="31">
        <f t="shared" si="1"/>
        <v>0</v>
      </c>
      <c r="S26" s="31" t="e">
        <f t="shared" si="6"/>
        <v>#NUM!</v>
      </c>
      <c r="T26" s="31">
        <f t="shared" si="7"/>
        <v>0</v>
      </c>
    </row>
    <row r="27" spans="1:20" x14ac:dyDescent="0.35">
      <c r="C27" s="3"/>
    </row>
    <row r="33" spans="1:20" ht="18.5" x14ac:dyDescent="0.45">
      <c r="A33" s="1" t="s">
        <v>68</v>
      </c>
    </row>
    <row r="34" spans="1:20" x14ac:dyDescent="0.35">
      <c r="A34" s="2" t="s">
        <v>0</v>
      </c>
      <c r="C34" s="3"/>
    </row>
    <row r="35" spans="1:20" x14ac:dyDescent="0.35">
      <c r="A35" s="2" t="s">
        <v>1</v>
      </c>
    </row>
    <row r="36" spans="1:20" x14ac:dyDescent="0.35">
      <c r="A36" s="2" t="s">
        <v>2</v>
      </c>
    </row>
    <row r="37" spans="1:20" x14ac:dyDescent="0.35">
      <c r="A37" s="2" t="s">
        <v>3</v>
      </c>
      <c r="C37">
        <f>9.136+0.816-9.148</f>
        <v>0.80400000000000027</v>
      </c>
    </row>
    <row r="38" spans="1:20" x14ac:dyDescent="0.35">
      <c r="A38" s="2" t="s">
        <v>4</v>
      </c>
      <c r="C38">
        <f>AVERAGE(G52:G57)/(90*60)</f>
        <v>1.7010802469135803E-3</v>
      </c>
    </row>
    <row r="39" spans="1:20" ht="15" thickBot="1" x14ac:dyDescent="0.4">
      <c r="A39" s="2" t="s">
        <v>5</v>
      </c>
      <c r="C39">
        <v>2140000</v>
      </c>
    </row>
    <row r="40" spans="1:20" x14ac:dyDescent="0.35">
      <c r="A40" s="4" t="s">
        <v>6</v>
      </c>
      <c r="B40" s="5"/>
      <c r="C40" s="6">
        <f>AVERAGE(Q58:Q58)</f>
        <v>-16.700504396338395</v>
      </c>
    </row>
    <row r="41" spans="1:20" ht="15" thickBot="1" x14ac:dyDescent="0.4">
      <c r="A41" s="7" t="s">
        <v>7</v>
      </c>
      <c r="B41" s="8"/>
      <c r="C41" s="9">
        <f>AVERAGE(S56:S57)</f>
        <v>-16.589941535804222</v>
      </c>
    </row>
    <row r="43" spans="1:20" x14ac:dyDescent="0.35">
      <c r="A43" s="56" t="s">
        <v>8</v>
      </c>
      <c r="B43" s="57"/>
      <c r="C43" s="57"/>
      <c r="D43" s="57"/>
      <c r="E43" s="58" t="s">
        <v>9</v>
      </c>
      <c r="F43" s="58"/>
      <c r="G43" s="58"/>
      <c r="H43" s="59"/>
      <c r="I43" s="59"/>
      <c r="J43" s="59"/>
      <c r="K43" s="60" t="s">
        <v>10</v>
      </c>
      <c r="L43" s="61" t="s">
        <v>11</v>
      </c>
      <c r="M43" s="62"/>
      <c r="N43" s="62"/>
      <c r="O43" s="62"/>
      <c r="P43" s="63" t="s">
        <v>12</v>
      </c>
      <c r="Q43" s="64"/>
      <c r="R43" s="64"/>
      <c r="S43" s="64"/>
      <c r="T43" s="64"/>
    </row>
    <row r="44" spans="1:20" x14ac:dyDescent="0.35">
      <c r="A44" s="65" t="s">
        <v>13</v>
      </c>
      <c r="B44" s="65" t="s">
        <v>14</v>
      </c>
      <c r="C44" s="65" t="s">
        <v>15</v>
      </c>
      <c r="D44" s="65" t="s">
        <v>16</v>
      </c>
      <c r="E44" s="66" t="s">
        <v>17</v>
      </c>
      <c r="F44" s="66" t="s">
        <v>18</v>
      </c>
      <c r="G44" s="66" t="s">
        <v>59</v>
      </c>
      <c r="H44" s="66" t="s">
        <v>20</v>
      </c>
      <c r="I44" s="66" t="s">
        <v>21</v>
      </c>
      <c r="J44" s="66" t="s">
        <v>22</v>
      </c>
      <c r="K44" s="67" t="s">
        <v>60</v>
      </c>
      <c r="L44" s="28" t="s">
        <v>28</v>
      </c>
      <c r="M44" s="28" t="s">
        <v>29</v>
      </c>
      <c r="N44" s="28" t="s">
        <v>30</v>
      </c>
      <c r="O44" s="28" t="s">
        <v>31</v>
      </c>
      <c r="P44" s="68" t="s">
        <v>32</v>
      </c>
      <c r="Q44" s="68" t="s">
        <v>33</v>
      </c>
      <c r="R44" s="68" t="s">
        <v>34</v>
      </c>
      <c r="S44" s="68" t="s">
        <v>35</v>
      </c>
      <c r="T44" s="64" t="s">
        <v>36</v>
      </c>
    </row>
    <row r="45" spans="1:20" x14ac:dyDescent="0.35">
      <c r="A45" s="31">
        <v>1</v>
      </c>
      <c r="B45" s="38">
        <v>43677</v>
      </c>
      <c r="C45" s="33">
        <v>0.3888888888888889</v>
      </c>
      <c r="D45" s="34">
        <f>0.5</f>
        <v>0.5</v>
      </c>
      <c r="E45" s="31">
        <v>4.9530000000000003</v>
      </c>
      <c r="F45" s="31">
        <v>17.391999999999999</v>
      </c>
      <c r="G45" s="35">
        <f>F45-E45</f>
        <v>12.439</v>
      </c>
      <c r="H45" s="31">
        <v>7.62</v>
      </c>
      <c r="I45" s="31">
        <v>5.8849999999999998</v>
      </c>
      <c r="J45" s="31">
        <v>5.6000000000000001E-2</v>
      </c>
      <c r="K45" s="31">
        <f>(J45+I45)/I45</f>
        <v>1.009515717926933</v>
      </c>
      <c r="L45" s="31">
        <v>0.593526</v>
      </c>
      <c r="M45" s="31">
        <f>L45/24.305</f>
        <v>2.44199135980251E-2</v>
      </c>
      <c r="N45" s="31">
        <v>1.3733</v>
      </c>
      <c r="O45" s="31">
        <f>N45/60.08</f>
        <v>2.2857856191744342E-2</v>
      </c>
      <c r="P45" s="31">
        <f t="shared" ref="P45:P58" si="9">(M45*10^(-6)*$C$38)/($C$37*$C$39*4)</f>
        <v>6.0358593499989564E-18</v>
      </c>
      <c r="Q45" s="31">
        <f>LOG(P45)</f>
        <v>-17.219260888881706</v>
      </c>
      <c r="R45" s="31">
        <f t="shared" ref="R45:R58" si="10">(O45*10^(-6)*$C$38)/($C$37*$C$39*6)</f>
        <v>3.7665108699655496E-18</v>
      </c>
      <c r="S45" s="31">
        <f>LOG(R45)</f>
        <v>-17.424060774877024</v>
      </c>
      <c r="T45" s="31">
        <f>O45/M45</f>
        <v>0.93603345892234913</v>
      </c>
    </row>
    <row r="46" spans="1:20" x14ac:dyDescent="0.35">
      <c r="A46" s="35">
        <v>2</v>
      </c>
      <c r="B46" s="32">
        <v>43677</v>
      </c>
      <c r="C46" s="33">
        <v>0.54166666666666663</v>
      </c>
      <c r="D46" s="34">
        <f>D45+4-20/60</f>
        <v>4.166666666666667</v>
      </c>
      <c r="E46" s="31">
        <v>4.899</v>
      </c>
      <c r="F46" s="35"/>
      <c r="G46" s="35">
        <f>F46-E46</f>
        <v>-4.899</v>
      </c>
      <c r="H46" s="35"/>
      <c r="I46" s="35"/>
      <c r="J46" s="31"/>
      <c r="K46" s="31"/>
      <c r="L46" s="35"/>
      <c r="M46" s="31"/>
      <c r="N46" s="35"/>
      <c r="O46" s="31"/>
      <c r="P46" s="31"/>
      <c r="Q46" s="31"/>
      <c r="R46" s="31"/>
      <c r="S46" s="31"/>
      <c r="T46" s="31"/>
    </row>
    <row r="47" spans="1:20" x14ac:dyDescent="0.35">
      <c r="A47" s="31">
        <v>3</v>
      </c>
      <c r="B47" s="38">
        <v>43677</v>
      </c>
      <c r="C47" s="33">
        <v>0.70138888888888884</v>
      </c>
      <c r="D47" s="37">
        <f>D46+3+5/6</f>
        <v>8</v>
      </c>
      <c r="E47" s="31">
        <v>4.931</v>
      </c>
      <c r="F47" s="35">
        <v>14.33</v>
      </c>
      <c r="G47" s="35">
        <f t="shared" ref="G47:G58" si="11">F47-E47</f>
        <v>9.3990000000000009</v>
      </c>
      <c r="H47" s="35">
        <v>7.72</v>
      </c>
      <c r="I47" s="35">
        <v>4.3719999999999999</v>
      </c>
      <c r="J47" s="35">
        <v>2.8000000000000001E-2</v>
      </c>
      <c r="K47" s="31">
        <f t="shared" ref="K47:K58" si="12">(J47+I47)/I47</f>
        <v>1.0064043915827996</v>
      </c>
      <c r="L47" s="35">
        <v>1.7165299999999999</v>
      </c>
      <c r="M47" s="31">
        <f t="shared" ref="M47:M58" si="13">L47/24.305</f>
        <v>7.0624562847150782E-2</v>
      </c>
      <c r="N47" s="35">
        <v>6.44</v>
      </c>
      <c r="O47" s="31">
        <f t="shared" ref="O47:O50" si="14">N47/60.08</f>
        <v>0.10719041278295607</v>
      </c>
      <c r="P47" s="31">
        <f t="shared" si="9"/>
        <v>1.7456242270858744E-17</v>
      </c>
      <c r="Q47" s="31">
        <f t="shared" ref="Q47:Q58" si="15">LOG(P47)</f>
        <v>-16.758049239248461</v>
      </c>
      <c r="R47" s="31">
        <f t="shared" si="10"/>
        <v>1.7662804924326909E-17</v>
      </c>
      <c r="S47" s="31">
        <f t="shared" ref="S47:S50" si="16">LOG(R47)</f>
        <v>-16.752940327574553</v>
      </c>
      <c r="T47" s="31">
        <f t="shared" ref="T47:T50" si="17">O47/M47</f>
        <v>1.5177497525180146</v>
      </c>
    </row>
    <row r="48" spans="1:20" x14ac:dyDescent="0.35">
      <c r="A48" s="35">
        <v>4</v>
      </c>
      <c r="B48" s="32">
        <v>43678</v>
      </c>
      <c r="C48" s="33">
        <v>0.3923611111111111</v>
      </c>
      <c r="D48" s="37">
        <f>D46+20+25/60</f>
        <v>24.583333333333336</v>
      </c>
      <c r="E48" s="35">
        <v>4.8979999999999997</v>
      </c>
      <c r="F48" s="35">
        <v>14.287000000000001</v>
      </c>
      <c r="G48" s="35">
        <f t="shared" si="11"/>
        <v>9.3890000000000011</v>
      </c>
      <c r="H48" s="35">
        <v>7.57</v>
      </c>
      <c r="I48" s="35">
        <v>4.1870000000000003</v>
      </c>
      <c r="J48" s="35">
        <v>0.03</v>
      </c>
      <c r="K48" s="31">
        <f t="shared" si="12"/>
        <v>1.0071650346310008</v>
      </c>
      <c r="L48" s="35">
        <v>2.3209399999999998</v>
      </c>
      <c r="M48" s="31">
        <f t="shared" si="13"/>
        <v>9.5492285537955149E-2</v>
      </c>
      <c r="N48" s="35">
        <v>9.3879000000000001</v>
      </c>
      <c r="O48" s="31">
        <f t="shared" si="14"/>
        <v>0.15625665778961387</v>
      </c>
      <c r="P48" s="31">
        <f>(M48*10^(-6)*$C$38)/($C$37*$C$39*4)</f>
        <v>2.3602786398214359E-17</v>
      </c>
      <c r="Q48" s="31">
        <f t="shared" si="15"/>
        <v>-16.627036723896985</v>
      </c>
      <c r="R48" s="31">
        <f>(O48*10^(-6)*$C$38)/($C$37*$C$39*6)</f>
        <v>2.5747926451721828E-17</v>
      </c>
      <c r="S48" s="31">
        <f t="shared" si="16"/>
        <v>-16.589257740092119</v>
      </c>
      <c r="T48" s="31">
        <f t="shared" si="17"/>
        <v>1.6363275515853772</v>
      </c>
    </row>
    <row r="49" spans="1:20" x14ac:dyDescent="0.35">
      <c r="A49" s="31">
        <v>5</v>
      </c>
      <c r="B49" s="38">
        <v>43678</v>
      </c>
      <c r="C49" s="36">
        <v>0.66666666666666663</v>
      </c>
      <c r="D49" s="37">
        <f>D48+7-25/60</f>
        <v>31.166666666666668</v>
      </c>
      <c r="E49" s="35">
        <v>4.9349999999999996</v>
      </c>
      <c r="F49" s="35">
        <v>13.808999999999999</v>
      </c>
      <c r="G49" s="35">
        <f t="shared" si="11"/>
        <v>8.8739999999999988</v>
      </c>
      <c r="H49" s="35">
        <v>7.66</v>
      </c>
      <c r="I49" s="35">
        <v>3.8010000000000002</v>
      </c>
      <c r="J49" s="35">
        <v>2.8000000000000001E-2</v>
      </c>
      <c r="K49" s="31">
        <f t="shared" si="12"/>
        <v>1.007366482504604</v>
      </c>
      <c r="L49" s="35">
        <v>2.2474500000000002</v>
      </c>
      <c r="M49" s="31">
        <f t="shared" si="13"/>
        <v>9.2468627854350963E-2</v>
      </c>
      <c r="N49" s="35">
        <v>9.6857000000000006</v>
      </c>
      <c r="O49" s="31">
        <f t="shared" si="14"/>
        <v>0.16121338215712386</v>
      </c>
      <c r="P49" s="31">
        <f t="shared" si="9"/>
        <v>2.2855430252685066E-17</v>
      </c>
      <c r="Q49" s="31">
        <f t="shared" si="15"/>
        <v>-16.641010598719078</v>
      </c>
      <c r="R49" s="31">
        <f t="shared" si="10"/>
        <v>2.6564694045893347E-17</v>
      </c>
      <c r="S49" s="31">
        <f t="shared" si="16"/>
        <v>-16.575695181634366</v>
      </c>
      <c r="T49" s="31">
        <f t="shared" si="17"/>
        <v>1.7434386764239005</v>
      </c>
    </row>
    <row r="50" spans="1:20" x14ac:dyDescent="0.35">
      <c r="A50" s="35">
        <v>6</v>
      </c>
      <c r="B50" s="32">
        <v>43679</v>
      </c>
      <c r="C50" s="36">
        <v>0.375</v>
      </c>
      <c r="D50" s="37">
        <f>D48+24-25/60</f>
        <v>48.166666666666671</v>
      </c>
      <c r="E50" s="35">
        <v>4.9320000000000004</v>
      </c>
      <c r="F50" s="35">
        <v>14.199</v>
      </c>
      <c r="G50" s="35">
        <f t="shared" si="11"/>
        <v>9.2669999999999995</v>
      </c>
      <c r="H50" s="35">
        <v>7.77</v>
      </c>
      <c r="I50" s="35">
        <v>4.1360000000000001</v>
      </c>
      <c r="J50" s="35">
        <v>2.7E-2</v>
      </c>
      <c r="K50" s="31">
        <f t="shared" si="12"/>
        <v>1.0065280464216635</v>
      </c>
      <c r="L50" s="35">
        <v>2.31555</v>
      </c>
      <c r="M50" s="31">
        <f t="shared" si="13"/>
        <v>9.5270520469039291E-2</v>
      </c>
      <c r="N50" s="35">
        <v>10.132999999999999</v>
      </c>
      <c r="O50" s="31">
        <f t="shared" si="14"/>
        <v>0.16865845539280958</v>
      </c>
      <c r="P50" s="31">
        <f t="shared" si="9"/>
        <v>2.3547972823246301E-17</v>
      </c>
      <c r="Q50" s="31">
        <f t="shared" si="15"/>
        <v>-16.628046474079547</v>
      </c>
      <c r="R50" s="31">
        <f t="shared" si="10"/>
        <v>2.779149104009387E-17</v>
      </c>
      <c r="S50" s="31">
        <f t="shared" si="16"/>
        <v>-16.556088152282943</v>
      </c>
      <c r="T50" s="31">
        <f t="shared" si="17"/>
        <v>1.7703110528048356</v>
      </c>
    </row>
    <row r="51" spans="1:20" x14ac:dyDescent="0.35">
      <c r="A51" s="31">
        <v>7</v>
      </c>
      <c r="B51" s="32">
        <v>43679</v>
      </c>
      <c r="C51" s="36">
        <v>0.66666666666666663</v>
      </c>
      <c r="D51" s="37">
        <f>D50+7</f>
        <v>55.166666666666671</v>
      </c>
      <c r="E51" s="35">
        <v>4.931</v>
      </c>
      <c r="F51" s="35">
        <v>14.191000000000001</v>
      </c>
      <c r="G51" s="35">
        <f t="shared" si="11"/>
        <v>9.2600000000000016</v>
      </c>
      <c r="H51" s="35">
        <v>7.55</v>
      </c>
      <c r="I51" s="35">
        <v>4.3680000000000003</v>
      </c>
      <c r="J51" s="35">
        <v>3.3000000000000002E-2</v>
      </c>
      <c r="K51" s="31">
        <f t="shared" si="12"/>
        <v>1.007554945054945</v>
      </c>
      <c r="L51" s="35">
        <v>2.4159799999999998</v>
      </c>
      <c r="M51" s="31">
        <f t="shared" si="13"/>
        <v>9.9402592059247064E-2</v>
      </c>
      <c r="N51" s="35">
        <v>10.2791</v>
      </c>
      <c r="O51" s="31"/>
      <c r="P51" s="31">
        <f t="shared" si="9"/>
        <v>2.4569295148671631E-17</v>
      </c>
      <c r="Q51" s="31">
        <f t="shared" si="15"/>
        <v>-16.609607302511915</v>
      </c>
      <c r="R51" s="31">
        <f t="shared" si="10"/>
        <v>0</v>
      </c>
      <c r="S51" s="31"/>
      <c r="T51" s="31"/>
    </row>
    <row r="52" spans="1:20" x14ac:dyDescent="0.35">
      <c r="A52" s="35">
        <v>8</v>
      </c>
      <c r="B52" s="32">
        <v>43680</v>
      </c>
      <c r="C52" s="36">
        <v>0.47916666666666669</v>
      </c>
      <c r="D52" s="37">
        <f>D50+24+2.5</f>
        <v>74.666666666666671</v>
      </c>
      <c r="E52" s="35">
        <v>4.9189999999999996</v>
      </c>
      <c r="F52" s="35">
        <v>14.179</v>
      </c>
      <c r="G52" s="35">
        <f t="shared" si="11"/>
        <v>9.2600000000000016</v>
      </c>
      <c r="H52" s="35">
        <v>7.73</v>
      </c>
      <c r="I52" s="35">
        <v>4.3239999999999998</v>
      </c>
      <c r="J52" s="35">
        <v>0.03</v>
      </c>
      <c r="K52" s="31">
        <f t="shared" si="12"/>
        <v>1.0069380203515264</v>
      </c>
      <c r="L52" s="35">
        <v>2.3420299999999998</v>
      </c>
      <c r="M52" s="31">
        <f t="shared" si="13"/>
        <v>9.6360008228759508E-2</v>
      </c>
      <c r="N52" s="35">
        <v>10.165699999999999</v>
      </c>
      <c r="O52" s="31">
        <f t="shared" ref="O52:O58" si="18">N52/60.08</f>
        <v>0.16920272969374167</v>
      </c>
      <c r="P52" s="31">
        <f t="shared" si="9"/>
        <v>2.3817261035705351E-17</v>
      </c>
      <c r="Q52" s="31">
        <f t="shared" si="15"/>
        <v>-16.623108183469252</v>
      </c>
      <c r="R52" s="31">
        <f t="shared" si="10"/>
        <v>2.7881176400501559E-17</v>
      </c>
      <c r="S52" s="31">
        <f t="shared" ref="S52:S58" si="19">LOG(R52)</f>
        <v>-16.554688905844195</v>
      </c>
      <c r="T52" s="31">
        <f t="shared" ref="T52:T58" si="20">O52/M52</f>
        <v>1.7559434956880962</v>
      </c>
    </row>
    <row r="53" spans="1:20" x14ac:dyDescent="0.35">
      <c r="A53" s="31">
        <v>9</v>
      </c>
      <c r="B53" s="32">
        <v>43681</v>
      </c>
      <c r="C53" s="36">
        <v>0.4236111111111111</v>
      </c>
      <c r="D53" s="37">
        <f>D52+23-2/6</f>
        <v>97.333333333333343</v>
      </c>
      <c r="E53" s="35">
        <v>4.96</v>
      </c>
      <c r="F53" s="35">
        <v>13.792</v>
      </c>
      <c r="G53" s="35">
        <f t="shared" si="11"/>
        <v>8.8320000000000007</v>
      </c>
      <c r="H53" s="35">
        <v>7.7</v>
      </c>
      <c r="I53" s="35">
        <v>4.2789999999999999</v>
      </c>
      <c r="J53" s="35">
        <v>0.03</v>
      </c>
      <c r="K53" s="31">
        <f t="shared" si="12"/>
        <v>1.0070109838747372</v>
      </c>
      <c r="L53" s="35">
        <v>2.2064400000000002</v>
      </c>
      <c r="M53" s="31">
        <f t="shared" si="13"/>
        <v>9.0781320715902086E-2</v>
      </c>
      <c r="N53" s="35">
        <v>9.9152000000000005</v>
      </c>
      <c r="O53" s="31">
        <f t="shared" si="18"/>
        <v>0.16503328894806926</v>
      </c>
      <c r="P53" s="31">
        <f t="shared" si="9"/>
        <v>2.2438379286184089E-17</v>
      </c>
      <c r="Q53" s="31">
        <f t="shared" si="15"/>
        <v>-16.649008515173737</v>
      </c>
      <c r="R53" s="31">
        <f t="shared" si="10"/>
        <v>2.71941371716904E-17</v>
      </c>
      <c r="S53" s="31">
        <f t="shared" si="19"/>
        <v>-16.565524716128763</v>
      </c>
      <c r="T53" s="31">
        <f t="shared" si="20"/>
        <v>1.817921216023469</v>
      </c>
    </row>
    <row r="54" spans="1:20" x14ac:dyDescent="0.35">
      <c r="A54" s="35">
        <v>10</v>
      </c>
      <c r="B54" s="32">
        <v>43682</v>
      </c>
      <c r="C54" s="36">
        <v>0.40277777777777773</v>
      </c>
      <c r="D54" s="37">
        <f>D53+24-0.5</f>
        <v>120.83333333333334</v>
      </c>
      <c r="E54" s="35">
        <v>4.96</v>
      </c>
      <c r="F54" s="35">
        <v>14.266999999999999</v>
      </c>
      <c r="G54" s="35">
        <f t="shared" si="11"/>
        <v>9.3069999999999986</v>
      </c>
      <c r="H54" s="35">
        <v>7.71</v>
      </c>
      <c r="I54" s="35">
        <v>4.7320000000000002</v>
      </c>
      <c r="J54" s="35">
        <v>2.5000000000000001E-2</v>
      </c>
      <c r="K54" s="31">
        <f t="shared" si="12"/>
        <v>1.0052831783601015</v>
      </c>
      <c r="L54" s="35">
        <v>2.11591</v>
      </c>
      <c r="M54" s="31">
        <f t="shared" si="13"/>
        <v>8.7056572721662215E-2</v>
      </c>
      <c r="N54" s="35">
        <v>9.6362000000000005</v>
      </c>
      <c r="O54" s="31">
        <f t="shared" si="18"/>
        <v>0.16038948069241013</v>
      </c>
      <c r="P54" s="31">
        <f>(M54*10^(-6)*$C$38)/($C$37*$C$39*4)</f>
        <v>2.1517734955598059E-17</v>
      </c>
      <c r="Q54" s="31">
        <f t="shared" si="15"/>
        <v>-16.667203446205331</v>
      </c>
      <c r="R54" s="31">
        <f t="shared" si="10"/>
        <v>2.6428931803074371E-17</v>
      </c>
      <c r="S54" s="31">
        <f t="shared" si="19"/>
        <v>-16.577920389702395</v>
      </c>
      <c r="T54" s="31">
        <f t="shared" si="20"/>
        <v>1.8423592346692572</v>
      </c>
    </row>
    <row r="55" spans="1:20" x14ac:dyDescent="0.35">
      <c r="A55" s="31">
        <v>11</v>
      </c>
      <c r="B55" s="32">
        <v>43682</v>
      </c>
      <c r="C55" s="36">
        <v>0.66666666666666663</v>
      </c>
      <c r="D55" s="37">
        <f>D51+3*24</f>
        <v>127.16666666666667</v>
      </c>
      <c r="E55" s="35">
        <v>4.944</v>
      </c>
      <c r="F55" s="35">
        <v>14.265000000000001</v>
      </c>
      <c r="G55" s="35">
        <f t="shared" si="11"/>
        <v>9.3210000000000015</v>
      </c>
      <c r="H55" s="35">
        <v>7.79</v>
      </c>
      <c r="I55" s="35">
        <v>3.8860000000000001</v>
      </c>
      <c r="J55" s="35">
        <v>2.8000000000000001E-2</v>
      </c>
      <c r="K55" s="31">
        <f t="shared" si="12"/>
        <v>1.0072053525476068</v>
      </c>
      <c r="L55" s="35">
        <v>2.1032899999999999</v>
      </c>
      <c r="M55" s="31">
        <f t="shared" si="13"/>
        <v>8.6537337996297051E-2</v>
      </c>
      <c r="N55" s="35">
        <v>9.5752000000000006</v>
      </c>
      <c r="O55" s="31">
        <f t="shared" si="18"/>
        <v>0.15937416777629829</v>
      </c>
      <c r="P55" s="31">
        <f t="shared" si="9"/>
        <v>2.1389395935914019E-17</v>
      </c>
      <c r="Q55" s="31">
        <f t="shared" si="15"/>
        <v>-16.66980148029073</v>
      </c>
      <c r="R55" s="31">
        <f t="shared" si="10"/>
        <v>2.6261628837176242E-17</v>
      </c>
      <c r="S55" s="31">
        <f t="shared" si="19"/>
        <v>-16.580678340963235</v>
      </c>
      <c r="T55" s="31">
        <f t="shared" si="20"/>
        <v>1.8416809606867954</v>
      </c>
    </row>
    <row r="56" spans="1:20" x14ac:dyDescent="0.35">
      <c r="A56" s="31">
        <v>12</v>
      </c>
      <c r="B56" s="32">
        <v>43683</v>
      </c>
      <c r="C56" s="36">
        <v>0.40277777777777773</v>
      </c>
      <c r="D56" s="37">
        <f>D54+24</f>
        <v>144.83333333333334</v>
      </c>
      <c r="E56" s="35">
        <v>4.9580000000000002</v>
      </c>
      <c r="F56" s="35">
        <v>14.151</v>
      </c>
      <c r="G56" s="35">
        <f t="shared" si="11"/>
        <v>9.1929999999999996</v>
      </c>
      <c r="H56" s="35">
        <v>7.73</v>
      </c>
      <c r="I56" s="35">
        <v>4.048</v>
      </c>
      <c r="J56" s="35">
        <v>2.8000000000000001E-2</v>
      </c>
      <c r="K56" s="31">
        <f t="shared" si="12"/>
        <v>1.0069169960474307</v>
      </c>
      <c r="L56" s="35">
        <v>2.0301100000000001</v>
      </c>
      <c r="M56" s="31">
        <f t="shared" si="13"/>
        <v>8.352643488994034E-2</v>
      </c>
      <c r="N56" s="35">
        <v>9.4206000000000003</v>
      </c>
      <c r="O56" s="31">
        <f t="shared" si="18"/>
        <v>0.15680093209054594</v>
      </c>
      <c r="P56" s="31">
        <f t="shared" si="9"/>
        <v>2.0645192333657465E-17</v>
      </c>
      <c r="Q56" s="31">
        <f t="shared" si="15"/>
        <v>-16.68518106681897</v>
      </c>
      <c r="R56" s="31">
        <f t="shared" si="10"/>
        <v>2.5837611812129514E-17</v>
      </c>
      <c r="S56" s="31">
        <f t="shared" si="19"/>
        <v>-16.587747630953498</v>
      </c>
      <c r="T56" s="31">
        <f t="shared" si="20"/>
        <v>1.8772611604596396</v>
      </c>
    </row>
    <row r="57" spans="1:20" x14ac:dyDescent="0.35">
      <c r="A57" s="31">
        <v>13</v>
      </c>
      <c r="B57" s="32">
        <v>43683</v>
      </c>
      <c r="C57" s="36">
        <v>0.66666666666666663</v>
      </c>
      <c r="D57" s="37">
        <f>D55+24</f>
        <v>151.16666666666669</v>
      </c>
      <c r="E57" s="35">
        <v>4.9370000000000003</v>
      </c>
      <c r="F57" s="35">
        <v>14.138999999999999</v>
      </c>
      <c r="G57" s="35">
        <f t="shared" si="11"/>
        <v>9.2019999999999982</v>
      </c>
      <c r="H57" s="35">
        <v>7.69</v>
      </c>
      <c r="I57" s="35">
        <v>4.2480000000000002</v>
      </c>
      <c r="J57" s="35">
        <v>5.2999999999999999E-2</v>
      </c>
      <c r="K57" s="31">
        <f t="shared" si="12"/>
        <v>1.0124764595103577</v>
      </c>
      <c r="L57" s="35">
        <v>1.9552799999999999</v>
      </c>
      <c r="M57" s="31">
        <f t="shared" si="13"/>
        <v>8.044764451758897E-2</v>
      </c>
      <c r="N57" s="35">
        <v>9.3259000000000007</v>
      </c>
      <c r="O57" s="31">
        <f t="shared" si="18"/>
        <v>0.1552247003994674</v>
      </c>
      <c r="P57" s="31">
        <f t="shared" si="9"/>
        <v>1.9884209065594365E-17</v>
      </c>
      <c r="Q57" s="31">
        <f t="shared" si="15"/>
        <v>-16.701491679270884</v>
      </c>
      <c r="R57" s="31">
        <f t="shared" si="10"/>
        <v>2.5577880814251602E-17</v>
      </c>
      <c r="S57" s="31">
        <f t="shared" si="19"/>
        <v>-16.59213544065495</v>
      </c>
      <c r="T57" s="31">
        <f t="shared" si="20"/>
        <v>1.9295120612950858</v>
      </c>
    </row>
    <row r="58" spans="1:20" x14ac:dyDescent="0.35">
      <c r="A58" s="35">
        <v>14</v>
      </c>
      <c r="B58" s="32">
        <v>43684</v>
      </c>
      <c r="C58" s="36">
        <v>0.38541666666666669</v>
      </c>
      <c r="D58" s="37">
        <f>D56+24-25/60</f>
        <v>168.41666666666669</v>
      </c>
      <c r="E58" s="35">
        <v>4.9370000000000003</v>
      </c>
      <c r="F58" s="35">
        <v>14.131</v>
      </c>
      <c r="G58" s="35">
        <f t="shared" si="11"/>
        <v>9.1939999999999991</v>
      </c>
      <c r="H58" s="35">
        <v>7.69</v>
      </c>
      <c r="I58" s="35">
        <v>3.7570000000000001</v>
      </c>
      <c r="J58" s="35">
        <v>5.6000000000000001E-2</v>
      </c>
      <c r="K58" s="31">
        <f t="shared" si="12"/>
        <v>1.0149055097151982</v>
      </c>
      <c r="L58" s="35">
        <v>1.95973</v>
      </c>
      <c r="M58" s="31">
        <f t="shared" si="13"/>
        <v>8.063073441678667E-2</v>
      </c>
      <c r="N58" s="35"/>
      <c r="O58" s="31">
        <f t="shared" si="18"/>
        <v>0</v>
      </c>
      <c r="P58" s="31">
        <f t="shared" si="9"/>
        <v>1.9929463315799907E-17</v>
      </c>
      <c r="Q58" s="31">
        <f t="shared" si="15"/>
        <v>-16.700504396338395</v>
      </c>
      <c r="R58" s="31">
        <f t="shared" si="10"/>
        <v>0</v>
      </c>
      <c r="S58" s="31" t="e">
        <f t="shared" si="19"/>
        <v>#NUM!</v>
      </c>
      <c r="T58" s="31">
        <f t="shared" si="20"/>
        <v>0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A8EE-3E6E-4D3E-A87F-CBBAB582DAFF}">
  <dimension ref="A1:T59"/>
  <sheetViews>
    <sheetView topLeftCell="A7" workbookViewId="0">
      <selection activeCell="E8" sqref="E8"/>
    </sheetView>
  </sheetViews>
  <sheetFormatPr defaultColWidth="11.6328125" defaultRowHeight="14.5" x14ac:dyDescent="0.35"/>
  <cols>
    <col min="4" max="4" width="13.26953125" bestFit="1" customWidth="1"/>
    <col min="7" max="7" width="19.26953125" bestFit="1" customWidth="1"/>
    <col min="10" max="10" width="13.453125" bestFit="1" customWidth="1"/>
    <col min="11" max="11" width="18.36328125" bestFit="1" customWidth="1"/>
    <col min="12" max="12" width="16.36328125" bestFit="1" customWidth="1"/>
    <col min="15" max="15" width="13.81640625" bestFit="1" customWidth="1"/>
    <col min="16" max="16" width="19.6328125" bestFit="1" customWidth="1"/>
    <col min="17" max="17" width="23.08984375" bestFit="1" customWidth="1"/>
    <col min="18" max="18" width="18.36328125" bestFit="1" customWidth="1"/>
    <col min="19" max="19" width="21.81640625" bestFit="1" customWidth="1"/>
    <col min="20" max="20" width="19.6328125" bestFit="1" customWidth="1"/>
    <col min="21" max="21" width="23.08984375" bestFit="1" customWidth="1"/>
    <col min="22" max="22" width="18.36328125" bestFit="1" customWidth="1"/>
    <col min="23" max="23" width="21.81640625" bestFit="1" customWidth="1"/>
    <col min="24" max="24" width="11.453125" bestFit="1" customWidth="1"/>
  </cols>
  <sheetData>
    <row r="1" spans="1:20" ht="18.5" x14ac:dyDescent="0.45">
      <c r="A1" s="1" t="s">
        <v>69</v>
      </c>
    </row>
    <row r="2" spans="1:20" x14ac:dyDescent="0.35">
      <c r="A2" s="2" t="s">
        <v>0</v>
      </c>
      <c r="C2" s="3"/>
    </row>
    <row r="3" spans="1:20" x14ac:dyDescent="0.35">
      <c r="A3" s="2" t="s">
        <v>1</v>
      </c>
    </row>
    <row r="4" spans="1:20" x14ac:dyDescent="0.35">
      <c r="A4" s="2" t="s">
        <v>2</v>
      </c>
    </row>
    <row r="5" spans="1:20" x14ac:dyDescent="0.35">
      <c r="A5" s="2" t="s">
        <v>3</v>
      </c>
      <c r="C5">
        <f>9.168+0.809-9.18</f>
        <v>0.79699999999999882</v>
      </c>
    </row>
    <row r="6" spans="1:20" x14ac:dyDescent="0.35">
      <c r="A6" s="2" t="s">
        <v>4</v>
      </c>
      <c r="C6">
        <f>AVERAGE(G24:G26)/(210*60)</f>
        <v>7.3756613756613735E-4</v>
      </c>
    </row>
    <row r="7" spans="1:20" ht="15" thickBot="1" x14ac:dyDescent="0.4">
      <c r="A7" s="2" t="s">
        <v>5</v>
      </c>
      <c r="C7">
        <v>2140000</v>
      </c>
    </row>
    <row r="8" spans="1:20" x14ac:dyDescent="0.35">
      <c r="A8" s="4" t="s">
        <v>6</v>
      </c>
      <c r="B8" s="5"/>
      <c r="C8" s="6">
        <f>AVERAGE(Q25:Q27)</f>
        <v>-16.883406225489313</v>
      </c>
    </row>
    <row r="9" spans="1:20" ht="15" thickBot="1" x14ac:dyDescent="0.4">
      <c r="A9" s="7" t="s">
        <v>7</v>
      </c>
      <c r="B9" s="8"/>
      <c r="C9" s="9">
        <f>AVERAGE(S24:S27)</f>
        <v>-16.705746509221889</v>
      </c>
    </row>
    <row r="11" spans="1:20" x14ac:dyDescent="0.35">
      <c r="A11" s="56" t="s">
        <v>8</v>
      </c>
      <c r="B11" s="57"/>
      <c r="C11" s="57"/>
      <c r="D11" s="57"/>
      <c r="E11" s="58" t="s">
        <v>9</v>
      </c>
      <c r="F11" s="58"/>
      <c r="G11" s="58"/>
      <c r="H11" s="59"/>
      <c r="I11" s="59"/>
      <c r="J11" s="59"/>
      <c r="K11" s="60" t="s">
        <v>10</v>
      </c>
      <c r="L11" s="61" t="s">
        <v>11</v>
      </c>
      <c r="M11" s="62"/>
      <c r="N11" s="62"/>
      <c r="O11" s="62"/>
      <c r="P11" s="63" t="s">
        <v>12</v>
      </c>
      <c r="Q11" s="64"/>
      <c r="R11" s="64"/>
      <c r="S11" s="64"/>
      <c r="T11" s="64"/>
    </row>
    <row r="12" spans="1:20" x14ac:dyDescent="0.35">
      <c r="A12" s="65" t="s">
        <v>13</v>
      </c>
      <c r="B12" s="65" t="s">
        <v>14</v>
      </c>
      <c r="C12" s="65" t="s">
        <v>15</v>
      </c>
      <c r="D12" s="65" t="s">
        <v>16</v>
      </c>
      <c r="E12" s="66" t="s">
        <v>17</v>
      </c>
      <c r="F12" s="66" t="s">
        <v>18</v>
      </c>
      <c r="G12" s="66" t="s">
        <v>59</v>
      </c>
      <c r="H12" s="66" t="s">
        <v>20</v>
      </c>
      <c r="I12" s="66" t="s">
        <v>21</v>
      </c>
      <c r="J12" s="66" t="s">
        <v>22</v>
      </c>
      <c r="K12" s="67" t="s">
        <v>60</v>
      </c>
      <c r="L12" s="28" t="s">
        <v>28</v>
      </c>
      <c r="M12" s="28" t="s">
        <v>29</v>
      </c>
      <c r="N12" s="28" t="s">
        <v>30</v>
      </c>
      <c r="O12" s="28" t="s">
        <v>31</v>
      </c>
      <c r="P12" s="68" t="s">
        <v>32</v>
      </c>
      <c r="Q12" s="68" t="s">
        <v>33</v>
      </c>
      <c r="R12" s="68" t="s">
        <v>34</v>
      </c>
      <c r="S12" s="68" t="s">
        <v>35</v>
      </c>
      <c r="T12" s="64" t="s">
        <v>36</v>
      </c>
    </row>
    <row r="13" spans="1:20" x14ac:dyDescent="0.35">
      <c r="A13" s="31">
        <v>1</v>
      </c>
      <c r="B13" s="38">
        <v>43710</v>
      </c>
      <c r="C13" s="33">
        <v>0.48958333333333331</v>
      </c>
      <c r="D13" s="34">
        <v>1</v>
      </c>
      <c r="E13" s="31">
        <v>4.9169999999999998</v>
      </c>
      <c r="F13" s="31"/>
      <c r="G13" s="35">
        <f>F13-E13</f>
        <v>-4.9169999999999998</v>
      </c>
      <c r="H13" s="31"/>
      <c r="I13" s="31"/>
      <c r="J13" s="31"/>
      <c r="K13" s="31" t="e">
        <f>(J13+I13)/I13</f>
        <v>#DIV/0!</v>
      </c>
      <c r="L13" s="31"/>
      <c r="M13" s="31">
        <f>L13/24.305</f>
        <v>0</v>
      </c>
      <c r="N13" s="31"/>
      <c r="O13" s="31">
        <f>N13/60.08</f>
        <v>0</v>
      </c>
      <c r="P13" s="31">
        <f t="shared" ref="P13:P26" si="0">(M13*10^(-6)*$C$6)/($C$5*$C$7*4)</f>
        <v>0</v>
      </c>
      <c r="Q13" s="31" t="e">
        <f>LOG(P13)</f>
        <v>#NUM!</v>
      </c>
      <c r="R13" s="31">
        <f t="shared" ref="R13:R26" si="1">(O13*10^(-6)*$C$6)/($C$5*$C$7*6)</f>
        <v>0</v>
      </c>
      <c r="S13" s="31" t="e">
        <f>LOG(R13)</f>
        <v>#NUM!</v>
      </c>
      <c r="T13" s="31" t="e">
        <f>O13/M13</f>
        <v>#DIV/0!</v>
      </c>
    </row>
    <row r="14" spans="1:20" x14ac:dyDescent="0.35">
      <c r="A14" s="35">
        <v>2</v>
      </c>
      <c r="B14" s="32">
        <v>43711</v>
      </c>
      <c r="C14" s="33">
        <v>0.48958333333333331</v>
      </c>
      <c r="D14" s="34">
        <f>D13+24</f>
        <v>25</v>
      </c>
      <c r="E14" s="31">
        <v>4.9160000000000004</v>
      </c>
      <c r="F14" s="35">
        <v>14.109</v>
      </c>
      <c r="G14" s="35">
        <f>F14-E14</f>
        <v>9.1929999999999996</v>
      </c>
      <c r="H14" s="35">
        <v>6.43</v>
      </c>
      <c r="I14" s="35">
        <v>4.0750000000000002</v>
      </c>
      <c r="J14" s="31">
        <v>2.5000000000000001E-2</v>
      </c>
      <c r="K14" s="31">
        <f t="shared" ref="K14:K26" si="2">(J14+I14)/I14</f>
        <v>1.0061349693251536</v>
      </c>
      <c r="L14" s="35">
        <v>3.4034800000000001</v>
      </c>
      <c r="M14" s="31">
        <f t="shared" ref="M14:M26" si="3">L14/24.305</f>
        <v>0.14003209216210658</v>
      </c>
      <c r="N14" s="35">
        <v>7.4739100000000001</v>
      </c>
      <c r="O14" s="31">
        <f>N14/28.0855</f>
        <v>0.26611276281355151</v>
      </c>
      <c r="P14" s="31">
        <f t="shared" si="0"/>
        <v>1.5138974623194232E-17</v>
      </c>
      <c r="Q14" s="31">
        <f t="shared" ref="Q14:Q26" si="4">LOG(P14)</f>
        <v>-16.819903539008276</v>
      </c>
      <c r="R14" s="31">
        <f t="shared" si="1"/>
        <v>1.9179767061199619E-17</v>
      </c>
      <c r="S14" s="31">
        <f t="shared" ref="S14:S26" si="5">LOG(R14)</f>
        <v>-16.717156671651797</v>
      </c>
      <c r="T14" s="31">
        <f t="shared" ref="T14:T26" si="6">O14/M14</f>
        <v>1.9003698274070566</v>
      </c>
    </row>
    <row r="15" spans="1:20" x14ac:dyDescent="0.35">
      <c r="A15" s="31">
        <v>3</v>
      </c>
      <c r="B15" s="38">
        <v>43712</v>
      </c>
      <c r="C15" s="33">
        <v>0.48958333333333298</v>
      </c>
      <c r="D15" s="34">
        <v>1</v>
      </c>
      <c r="E15" s="31">
        <v>4.9390000000000001</v>
      </c>
      <c r="F15" s="35">
        <v>15.282999999999999</v>
      </c>
      <c r="G15" s="35">
        <f t="shared" ref="G15:G26" si="7">F15-E15</f>
        <v>10.343999999999999</v>
      </c>
      <c r="H15" s="35">
        <v>7.46</v>
      </c>
      <c r="I15" s="35">
        <v>4.7930000000000001</v>
      </c>
      <c r="J15" s="35">
        <v>5.0999999999999997E-2</v>
      </c>
      <c r="K15" s="31">
        <f t="shared" si="2"/>
        <v>1.0106405174212394</v>
      </c>
      <c r="L15" s="35">
        <v>1.8403799999999999</v>
      </c>
      <c r="M15" s="31">
        <f t="shared" si="3"/>
        <v>7.5720222176506882E-2</v>
      </c>
      <c r="N15" s="35">
        <v>3.8538800000000002</v>
      </c>
      <c r="O15" s="31">
        <f t="shared" ref="O15:O27" si="8">N15/28.0855</f>
        <v>0.13721956169553684</v>
      </c>
      <c r="P15" s="31">
        <f t="shared" si="0"/>
        <v>8.1861700721127178E-18</v>
      </c>
      <c r="Q15" s="31">
        <f t="shared" si="4"/>
        <v>-17.086919236894168</v>
      </c>
      <c r="R15" s="31">
        <f t="shared" si="1"/>
        <v>9.8899398951574203E-18</v>
      </c>
      <c r="S15" s="31">
        <f t="shared" si="5"/>
        <v>-17.004806347763871</v>
      </c>
      <c r="T15" s="31">
        <f t="shared" si="6"/>
        <v>1.8121917468186044</v>
      </c>
    </row>
    <row r="16" spans="1:20" x14ac:dyDescent="0.35">
      <c r="A16" s="35">
        <v>4</v>
      </c>
      <c r="B16" s="32">
        <v>43713</v>
      </c>
      <c r="C16" s="33">
        <v>0.48958333333333298</v>
      </c>
      <c r="D16" s="34">
        <f>D15+24</f>
        <v>25</v>
      </c>
      <c r="E16" s="35">
        <v>4.9580000000000002</v>
      </c>
      <c r="F16" s="35">
        <v>12.18</v>
      </c>
      <c r="G16" s="35">
        <f t="shared" si="7"/>
        <v>7.2219999999999995</v>
      </c>
      <c r="H16" s="35">
        <v>7.47</v>
      </c>
      <c r="I16" s="35">
        <v>3.1070000000000002</v>
      </c>
      <c r="J16" s="35">
        <v>2.5999999999999999E-2</v>
      </c>
      <c r="K16" s="31">
        <f t="shared" si="2"/>
        <v>1.00836820083682</v>
      </c>
      <c r="L16" s="35">
        <v>5.6297E-2</v>
      </c>
      <c r="M16" s="31">
        <f t="shared" si="3"/>
        <v>2.3162723719399301E-3</v>
      </c>
      <c r="N16" s="35">
        <v>0.12507299999999999</v>
      </c>
      <c r="O16" s="31">
        <f t="shared" si="8"/>
        <v>4.4532944045859958E-3</v>
      </c>
      <c r="P16" s="31">
        <f t="shared" si="0"/>
        <v>2.5041394524485693E-19</v>
      </c>
      <c r="Q16" s="31">
        <f t="shared" si="4"/>
        <v>-18.6013414894622</v>
      </c>
      <c r="R16" s="31">
        <f t="shared" si="1"/>
        <v>3.2096600114871861E-19</v>
      </c>
      <c r="S16" s="31">
        <f t="shared" si="5"/>
        <v>-18.493540968515706</v>
      </c>
      <c r="T16" s="31">
        <f t="shared" si="6"/>
        <v>1.9226125815489747</v>
      </c>
    </row>
    <row r="17" spans="1:20" x14ac:dyDescent="0.35">
      <c r="A17" s="31">
        <v>5</v>
      </c>
      <c r="B17" s="38">
        <v>43714</v>
      </c>
      <c r="C17" s="33">
        <v>0.48958333333333298</v>
      </c>
      <c r="D17" s="34">
        <f>D16+24</f>
        <v>49</v>
      </c>
      <c r="E17" s="35">
        <v>4.93</v>
      </c>
      <c r="F17" s="35">
        <v>15.231</v>
      </c>
      <c r="G17" s="35">
        <f t="shared" si="7"/>
        <v>10.301</v>
      </c>
      <c r="H17" s="35">
        <v>7.63</v>
      </c>
      <c r="I17" s="35">
        <v>4.9820000000000002</v>
      </c>
      <c r="J17" s="35">
        <v>5.0999999999999997E-2</v>
      </c>
      <c r="K17" s="31">
        <f t="shared" si="2"/>
        <v>1.0102368526696106</v>
      </c>
      <c r="L17" s="35">
        <v>3.0832000000000002</v>
      </c>
      <c r="M17" s="31">
        <f t="shared" si="3"/>
        <v>0.12685455667558115</v>
      </c>
      <c r="N17" s="35">
        <v>7.1464400000000001</v>
      </c>
      <c r="O17" s="31">
        <f t="shared" si="8"/>
        <v>0.25445300956009331</v>
      </c>
      <c r="P17" s="31">
        <f t="shared" si="0"/>
        <v>1.3714341367727282E-17</v>
      </c>
      <c r="Q17" s="31">
        <f t="shared" si="4"/>
        <v>-16.862825044583701</v>
      </c>
      <c r="R17" s="31">
        <f t="shared" si="1"/>
        <v>1.8339403942091811E-17</v>
      </c>
      <c r="S17" s="31">
        <f t="shared" si="5"/>
        <v>-16.736614783653298</v>
      </c>
      <c r="T17" s="31">
        <f t="shared" si="6"/>
        <v>2.0058641662422381</v>
      </c>
    </row>
    <row r="18" spans="1:20" x14ac:dyDescent="0.35">
      <c r="A18" s="35">
        <v>6</v>
      </c>
      <c r="B18" s="32">
        <v>43715</v>
      </c>
      <c r="C18" s="33">
        <v>0.48958333333333298</v>
      </c>
      <c r="D18" s="34">
        <f>D17+24</f>
        <v>73</v>
      </c>
      <c r="E18" s="35">
        <v>4.9249999999999998</v>
      </c>
      <c r="F18" s="35">
        <v>15.076000000000001</v>
      </c>
      <c r="G18" s="35">
        <f t="shared" si="7"/>
        <v>10.151</v>
      </c>
      <c r="H18" s="35">
        <v>7.68</v>
      </c>
      <c r="I18" s="35">
        <v>4.758</v>
      </c>
      <c r="J18" s="35">
        <v>5.1999999999999998E-2</v>
      </c>
      <c r="K18" s="31">
        <f t="shared" si="2"/>
        <v>1.0109289617486339</v>
      </c>
      <c r="L18" s="35">
        <v>3.1120199999999998</v>
      </c>
      <c r="M18" s="31">
        <f t="shared" si="3"/>
        <v>0.12804032092162107</v>
      </c>
      <c r="N18" s="35">
        <v>7.51037</v>
      </c>
      <c r="O18" s="31">
        <f t="shared" si="8"/>
        <v>0.26741094158907619</v>
      </c>
      <c r="P18" s="31">
        <f t="shared" si="0"/>
        <v>1.3842535230667702E-17</v>
      </c>
      <c r="Q18" s="31">
        <f t="shared" si="4"/>
        <v>-16.858784362490756</v>
      </c>
      <c r="R18" s="31">
        <f t="shared" si="1"/>
        <v>1.9273331782617366E-17</v>
      </c>
      <c r="S18" s="31">
        <f t="shared" si="5"/>
        <v>-16.715043202327987</v>
      </c>
      <c r="T18" s="31">
        <f t="shared" si="6"/>
        <v>2.0884900917482847</v>
      </c>
    </row>
    <row r="19" spans="1:20" x14ac:dyDescent="0.35">
      <c r="A19" s="31">
        <v>7</v>
      </c>
      <c r="B19" s="32">
        <v>43717</v>
      </c>
      <c r="C19" s="36">
        <v>0.52777777777777779</v>
      </c>
      <c r="D19" s="37">
        <f>D18+2*24+1-5/60</f>
        <v>121.91666666666667</v>
      </c>
      <c r="E19" s="35">
        <v>4.9379999999999997</v>
      </c>
      <c r="F19" s="35">
        <v>14.827</v>
      </c>
      <c r="G19" s="35">
        <f t="shared" si="7"/>
        <v>9.8889999999999993</v>
      </c>
      <c r="H19" s="35">
        <v>7.59</v>
      </c>
      <c r="I19" s="35">
        <v>4.2300000000000004</v>
      </c>
      <c r="J19" s="35">
        <v>5.1999999999999998E-2</v>
      </c>
      <c r="K19" s="31">
        <f t="shared" si="2"/>
        <v>1.0122931442080376</v>
      </c>
      <c r="L19" s="35">
        <v>3.2945899999999999</v>
      </c>
      <c r="M19" s="31">
        <f t="shared" si="3"/>
        <v>0.1355519440444353</v>
      </c>
      <c r="N19" s="35">
        <v>8.2439199999999992</v>
      </c>
      <c r="O19" s="31">
        <f t="shared" si="8"/>
        <v>0.29352940129248184</v>
      </c>
      <c r="P19" s="31">
        <f t="shared" si="0"/>
        <v>1.4654622446387076E-17</v>
      </c>
      <c r="Q19" s="31">
        <f t="shared" si="4"/>
        <v>-16.834025366005001</v>
      </c>
      <c r="R19" s="31">
        <f t="shared" si="1"/>
        <v>2.115578930856335E-17</v>
      </c>
      <c r="S19" s="31">
        <f t="shared" si="5"/>
        <v>-16.674570766789373</v>
      </c>
      <c r="T19" s="31">
        <f t="shared" si="6"/>
        <v>2.1654385214590501</v>
      </c>
    </row>
    <row r="20" spans="1:20" x14ac:dyDescent="0.35">
      <c r="A20" s="35">
        <v>8</v>
      </c>
      <c r="B20" s="32">
        <v>43718</v>
      </c>
      <c r="C20" s="33">
        <v>0.48958333333333298</v>
      </c>
      <c r="D20" s="37">
        <f>D18+3*24</f>
        <v>145</v>
      </c>
      <c r="E20" s="35">
        <v>4.9649999999999999</v>
      </c>
      <c r="F20" s="35">
        <v>15.04</v>
      </c>
      <c r="G20" s="35">
        <f t="shared" si="7"/>
        <v>10.074999999999999</v>
      </c>
      <c r="H20" s="35">
        <v>7.65</v>
      </c>
      <c r="I20" s="35">
        <v>4.5739999999999998</v>
      </c>
      <c r="J20" s="35">
        <f>4.62-I20</f>
        <v>4.6000000000000263E-2</v>
      </c>
      <c r="K20" s="31">
        <f t="shared" si="2"/>
        <v>1.0100568430257981</v>
      </c>
      <c r="L20" s="35">
        <v>3.2086600000000001</v>
      </c>
      <c r="M20" s="31">
        <f t="shared" si="3"/>
        <v>0.13201645751902902</v>
      </c>
      <c r="N20" s="35">
        <v>8.1528500000000008</v>
      </c>
      <c r="O20" s="31">
        <f t="shared" si="8"/>
        <v>0.2902868027985972</v>
      </c>
      <c r="P20" s="31">
        <f t="shared" si="0"/>
        <v>1.4272398343594911E-17</v>
      </c>
      <c r="Q20" s="31">
        <f t="shared" si="4"/>
        <v>-16.845503041610684</v>
      </c>
      <c r="R20" s="31">
        <f t="shared" si="1"/>
        <v>2.0922082803365484E-17</v>
      </c>
      <c r="S20" s="31">
        <f t="shared" si="5"/>
        <v>-16.679395083428911</v>
      </c>
      <c r="T20" s="31">
        <f t="shared" si="6"/>
        <v>2.1988682945590696</v>
      </c>
    </row>
    <row r="21" spans="1:20" x14ac:dyDescent="0.35">
      <c r="A21" s="31">
        <v>9</v>
      </c>
      <c r="B21" s="32">
        <v>43719</v>
      </c>
      <c r="C21" s="36">
        <v>0.53125</v>
      </c>
      <c r="D21" s="37">
        <f>D20+25</f>
        <v>170</v>
      </c>
      <c r="E21" s="35">
        <v>4.9450000000000003</v>
      </c>
      <c r="F21" s="35">
        <v>17.024000000000001</v>
      </c>
      <c r="G21" s="35">
        <f t="shared" si="7"/>
        <v>12.079000000000001</v>
      </c>
      <c r="H21" s="35">
        <v>7.41</v>
      </c>
      <c r="I21" s="35">
        <v>6.0359999999999996</v>
      </c>
      <c r="J21" s="35">
        <v>7.8E-2</v>
      </c>
      <c r="K21" s="31">
        <f t="shared" si="2"/>
        <v>1.0129224652087476</v>
      </c>
      <c r="L21" s="35">
        <v>3.0543900000000002</v>
      </c>
      <c r="M21" s="31">
        <f t="shared" si="3"/>
        <v>0.12566920386751698</v>
      </c>
      <c r="N21" s="35">
        <v>7.8759199999999998</v>
      </c>
      <c r="O21" s="31">
        <f t="shared" si="8"/>
        <v>0.28042655462783289</v>
      </c>
      <c r="P21" s="31">
        <f t="shared" si="0"/>
        <v>1.3586191985655337E-17</v>
      </c>
      <c r="Q21" s="31">
        <f t="shared" si="4"/>
        <v>-16.866902252712933</v>
      </c>
      <c r="R21" s="31">
        <f t="shared" si="1"/>
        <v>2.0211416914659569E-17</v>
      </c>
      <c r="S21" s="31">
        <f t="shared" si="5"/>
        <v>-16.694403239347253</v>
      </c>
      <c r="T21" s="31">
        <f t="shared" si="6"/>
        <v>2.2314659916479158</v>
      </c>
    </row>
    <row r="22" spans="1:20" x14ac:dyDescent="0.35">
      <c r="A22" s="35">
        <v>10</v>
      </c>
      <c r="B22" s="32">
        <v>43720</v>
      </c>
      <c r="C22" s="36">
        <v>0.5625</v>
      </c>
      <c r="D22" s="37">
        <f>D21+25-15/60</f>
        <v>194.75</v>
      </c>
      <c r="E22" s="35">
        <v>4.968</v>
      </c>
      <c r="F22" s="35">
        <v>15.201000000000001</v>
      </c>
      <c r="G22" s="35">
        <f t="shared" si="7"/>
        <v>10.233000000000001</v>
      </c>
      <c r="H22" s="35">
        <v>7.51</v>
      </c>
      <c r="I22" s="35">
        <v>4.5759999999999996</v>
      </c>
      <c r="J22" s="35">
        <v>2.5000000000000001E-2</v>
      </c>
      <c r="K22" s="31">
        <f t="shared" si="2"/>
        <v>1.0054632867132869</v>
      </c>
      <c r="L22" s="35">
        <v>3.1939700000000002</v>
      </c>
      <c r="M22" s="31">
        <f t="shared" si="3"/>
        <v>0.13141205513268875</v>
      </c>
      <c r="N22" s="35">
        <v>8.1861700000000006</v>
      </c>
      <c r="O22" s="31">
        <f t="shared" si="8"/>
        <v>0.29147318011073331</v>
      </c>
      <c r="P22" s="31">
        <f t="shared" si="0"/>
        <v>1.4207055947807442E-17</v>
      </c>
      <c r="Q22" s="31">
        <f t="shared" si="4"/>
        <v>-16.847495909270965</v>
      </c>
      <c r="R22" s="31">
        <f t="shared" si="1"/>
        <v>2.1007589564683076E-17</v>
      </c>
      <c r="S22" s="31">
        <f t="shared" si="5"/>
        <v>-16.677623776190554</v>
      </c>
      <c r="T22" s="31">
        <f t="shared" si="6"/>
        <v>2.218009449866897</v>
      </c>
    </row>
    <row r="23" spans="1:20" x14ac:dyDescent="0.35">
      <c r="A23" s="31">
        <v>11</v>
      </c>
      <c r="B23" s="32">
        <v>43721</v>
      </c>
      <c r="C23" s="36">
        <v>0.41666666666666669</v>
      </c>
      <c r="D23" s="37">
        <f>D22+21.5</f>
        <v>216.25</v>
      </c>
      <c r="E23" s="35"/>
      <c r="F23" s="35">
        <v>14.946</v>
      </c>
      <c r="G23" s="35">
        <f t="shared" si="7"/>
        <v>14.946</v>
      </c>
      <c r="H23" s="35">
        <v>7.63</v>
      </c>
      <c r="I23" s="35">
        <v>4.5670000000000002</v>
      </c>
      <c r="J23" s="35">
        <v>0.05</v>
      </c>
      <c r="K23" s="31">
        <f t="shared" si="2"/>
        <v>1.0109481059776659</v>
      </c>
      <c r="L23" s="35">
        <v>3.1606700000000001</v>
      </c>
      <c r="M23" s="31">
        <f t="shared" si="3"/>
        <v>0.13004196667352397</v>
      </c>
      <c r="N23" s="35">
        <v>8.0430600000000005</v>
      </c>
      <c r="O23" s="31">
        <f t="shared" si="8"/>
        <v>0.28637766819177157</v>
      </c>
      <c r="P23" s="31">
        <f t="shared" si="0"/>
        <v>1.405893465579093E-17</v>
      </c>
      <c r="Q23" s="31">
        <f t="shared" si="4"/>
        <v>-16.852047587612134</v>
      </c>
      <c r="R23" s="31">
        <f t="shared" si="1"/>
        <v>2.0640336485086416E-17</v>
      </c>
      <c r="S23" s="31">
        <f t="shared" si="5"/>
        <v>-16.685283226985469</v>
      </c>
      <c r="T23" s="31">
        <f t="shared" si="6"/>
        <v>2.202194226351061</v>
      </c>
    </row>
    <row r="24" spans="1:20" x14ac:dyDescent="0.35">
      <c r="A24" s="31">
        <v>12</v>
      </c>
      <c r="B24" s="32">
        <v>43723</v>
      </c>
      <c r="C24" s="36">
        <v>0.5</v>
      </c>
      <c r="D24" s="37">
        <f>D23+26+24</f>
        <v>266.25</v>
      </c>
      <c r="E24" s="35">
        <v>4.984</v>
      </c>
      <c r="F24" s="35">
        <v>14.795</v>
      </c>
      <c r="G24" s="35">
        <f t="shared" si="7"/>
        <v>9.8109999999999999</v>
      </c>
      <c r="H24" s="35">
        <v>7.33</v>
      </c>
      <c r="I24" s="35">
        <v>4.1879999999999997</v>
      </c>
      <c r="J24" s="35">
        <v>5.1999999999999998E-2</v>
      </c>
      <c r="K24" s="31">
        <f t="shared" si="2"/>
        <v>1.0124164278892072</v>
      </c>
      <c r="L24" s="35">
        <v>2.96197</v>
      </c>
      <c r="M24" s="31">
        <f t="shared" si="3"/>
        <v>0.12186669409586505</v>
      </c>
      <c r="N24" s="35">
        <v>7.9455200000000001</v>
      </c>
      <c r="O24" s="31">
        <f t="shared" si="8"/>
        <v>0.28290470171440779</v>
      </c>
      <c r="P24" s="31">
        <f t="shared" si="0"/>
        <v>1.3175099799223916E-17</v>
      </c>
      <c r="Q24" s="31">
        <f t="shared" si="4"/>
        <v>-16.88024608639336</v>
      </c>
      <c r="R24" s="31">
        <f t="shared" si="1"/>
        <v>2.0390026476115286E-17</v>
      </c>
      <c r="S24" s="31">
        <f>LOG(R24)</f>
        <v>-16.690582210297226</v>
      </c>
      <c r="T24" s="31">
        <f t="shared" si="6"/>
        <v>2.321427555028809</v>
      </c>
    </row>
    <row r="25" spans="1:20" x14ac:dyDescent="0.35">
      <c r="A25" s="31">
        <v>13</v>
      </c>
      <c r="B25" s="32">
        <v>43724</v>
      </c>
      <c r="C25" s="36">
        <v>0.44097222222222227</v>
      </c>
      <c r="D25" s="37">
        <f>D24+24-1-25/60</f>
        <v>288.83333333333331</v>
      </c>
      <c r="E25" s="35">
        <v>4.9480000000000004</v>
      </c>
      <c r="F25" s="35">
        <v>14.872999999999999</v>
      </c>
      <c r="G25" s="35">
        <f t="shared" si="7"/>
        <v>9.9249999999999989</v>
      </c>
      <c r="H25" s="35">
        <v>7.25</v>
      </c>
      <c r="I25" s="35">
        <v>4.3879999999999999</v>
      </c>
      <c r="J25" s="35">
        <v>4.4999999999999998E-2</v>
      </c>
      <c r="K25" s="31">
        <f t="shared" si="2"/>
        <v>1.0102552415679125</v>
      </c>
      <c r="L25" s="35">
        <v>2.98237</v>
      </c>
      <c r="M25" s="31">
        <f t="shared" si="3"/>
        <v>0.12270602756634437</v>
      </c>
      <c r="N25" s="35">
        <v>7.66805</v>
      </c>
      <c r="O25" s="31">
        <f t="shared" si="8"/>
        <v>0.27302522654038563</v>
      </c>
      <c r="P25" s="31">
        <f>(M25*10^(-6)*$C$6)/($C$5*$C$7*4)</f>
        <v>1.3265840770909709E-17</v>
      </c>
      <c r="Q25" s="31">
        <f t="shared" si="4"/>
        <v>-16.877265219816948</v>
      </c>
      <c r="R25" s="31">
        <f t="shared" si="1"/>
        <v>1.9677974823570492E-17</v>
      </c>
      <c r="S25" s="31">
        <f t="shared" si="5"/>
        <v>-16.706019599411036</v>
      </c>
      <c r="T25" s="31">
        <f t="shared" si="6"/>
        <v>2.2250351670195427</v>
      </c>
    </row>
    <row r="26" spans="1:20" x14ac:dyDescent="0.35">
      <c r="A26" s="35">
        <v>14</v>
      </c>
      <c r="B26" s="32">
        <v>43725</v>
      </c>
      <c r="C26" s="36">
        <v>0.45833333333333331</v>
      </c>
      <c r="D26" s="37">
        <f>D25+24-25/60</f>
        <v>312.41666666666663</v>
      </c>
      <c r="E26" s="35">
        <v>4.9489999999999998</v>
      </c>
      <c r="F26" s="35">
        <v>13.093</v>
      </c>
      <c r="G26" s="35">
        <f t="shared" si="7"/>
        <v>8.1440000000000001</v>
      </c>
      <c r="H26" s="35">
        <v>7.3</v>
      </c>
      <c r="I26" s="35">
        <v>3.5350000000000001</v>
      </c>
      <c r="J26" s="35">
        <v>5.1999999999999998E-2</v>
      </c>
      <c r="K26" s="31">
        <f t="shared" si="2"/>
        <v>1.0147100424328148</v>
      </c>
      <c r="L26" s="35">
        <v>2.9676300000000002</v>
      </c>
      <c r="M26" s="31">
        <f t="shared" si="3"/>
        <v>0.1220995679901255</v>
      </c>
      <c r="N26" s="35">
        <v>7.5402800000000001</v>
      </c>
      <c r="O26" s="31">
        <f t="shared" si="8"/>
        <v>0.26847590393619486</v>
      </c>
      <c r="P26" s="31">
        <f t="shared" si="0"/>
        <v>1.3200275970779877E-17</v>
      </c>
      <c r="Q26" s="31">
        <f t="shared" si="4"/>
        <v>-16.879416989147636</v>
      </c>
      <c r="R26" s="31">
        <f t="shared" si="1"/>
        <v>1.9350087701915367E-17</v>
      </c>
      <c r="S26" s="31">
        <f t="shared" si="5"/>
        <v>-16.713317062253772</v>
      </c>
      <c r="T26" s="31">
        <f t="shared" si="6"/>
        <v>2.1988276318709596</v>
      </c>
    </row>
    <row r="27" spans="1:20" x14ac:dyDescent="0.35">
      <c r="A27" s="35">
        <v>15</v>
      </c>
      <c r="B27" s="32">
        <v>43726</v>
      </c>
      <c r="C27" s="36">
        <v>0.41666666666666669</v>
      </c>
      <c r="D27" s="37">
        <f>D26+23</f>
        <v>335.41666666666663</v>
      </c>
      <c r="E27" s="35">
        <v>4.9420000000000002</v>
      </c>
      <c r="F27" s="35"/>
      <c r="G27" s="35">
        <f>F27-E27</f>
        <v>-4.9420000000000002</v>
      </c>
      <c r="H27" s="35"/>
      <c r="I27" s="35"/>
      <c r="J27" s="35"/>
      <c r="K27" s="31" t="e">
        <f>(J27+I27)/I27</f>
        <v>#DIV/0!</v>
      </c>
      <c r="L27" s="35">
        <v>2.8727</v>
      </c>
      <c r="M27" s="31">
        <f>L27/24.305</f>
        <v>0.11819378728656656</v>
      </c>
      <c r="N27" s="35">
        <v>7.5446200000000001</v>
      </c>
      <c r="O27" s="31">
        <f t="shared" si="8"/>
        <v>0.26863043207348991</v>
      </c>
      <c r="P27" s="31">
        <f>(M27*10^(-6)*$C$6)/($C$5*$C$7*4)</f>
        <v>1.2778019086361625E-17</v>
      </c>
      <c r="Q27" s="31">
        <f>LOG(P27)</f>
        <v>-16.893536467503353</v>
      </c>
      <c r="R27" s="31">
        <f>(O27*10^(-6)*$C$6)/($C$5*$C$7*6)</f>
        <v>1.9361225137213039E-17</v>
      </c>
      <c r="S27" s="31">
        <f>LOG(R27)</f>
        <v>-16.713067164925523</v>
      </c>
      <c r="T27" s="31">
        <f>O27/M27</f>
        <v>2.2727965508219348</v>
      </c>
    </row>
    <row r="33" spans="1:20" ht="18.5" x14ac:dyDescent="0.45">
      <c r="A33" s="1" t="s">
        <v>70</v>
      </c>
    </row>
    <row r="34" spans="1:20" x14ac:dyDescent="0.35">
      <c r="A34" s="2" t="s">
        <v>0</v>
      </c>
      <c r="C34" s="3"/>
    </row>
    <row r="35" spans="1:20" x14ac:dyDescent="0.35">
      <c r="A35" s="2" t="s">
        <v>1</v>
      </c>
    </row>
    <row r="36" spans="1:20" x14ac:dyDescent="0.35">
      <c r="A36" s="2" t="s">
        <v>2</v>
      </c>
    </row>
    <row r="37" spans="1:20" x14ac:dyDescent="0.35">
      <c r="A37" s="2" t="s">
        <v>3</v>
      </c>
      <c r="C37">
        <f>9.108+0.801-9.132</f>
        <v>0.77700000000000102</v>
      </c>
    </row>
    <row r="38" spans="1:20" x14ac:dyDescent="0.35">
      <c r="A38" s="2" t="s">
        <v>4</v>
      </c>
      <c r="C38">
        <f>AVERAGE(G56:G58)/(210*60)</f>
        <v>8.0142857142857132E-4</v>
      </c>
    </row>
    <row r="39" spans="1:20" ht="15" thickBot="1" x14ac:dyDescent="0.4">
      <c r="A39" s="2" t="s">
        <v>5</v>
      </c>
      <c r="C39">
        <v>2140000</v>
      </c>
    </row>
    <row r="40" spans="1:20" x14ac:dyDescent="0.35">
      <c r="A40" s="4" t="s">
        <v>6</v>
      </c>
      <c r="B40" s="5"/>
      <c r="C40" s="6">
        <f>AVERAGE(Q57:Q59)</f>
        <v>-16.858885581357566</v>
      </c>
    </row>
    <row r="41" spans="1:20" ht="15" thickBot="1" x14ac:dyDescent="0.4">
      <c r="A41" s="7" t="s">
        <v>7</v>
      </c>
      <c r="B41" s="8"/>
      <c r="C41" s="9">
        <f>AVERAGE(S57:S59)</f>
        <v>-16.680407429092174</v>
      </c>
    </row>
    <row r="43" spans="1:20" x14ac:dyDescent="0.35">
      <c r="A43" s="56" t="s">
        <v>8</v>
      </c>
      <c r="B43" s="57"/>
      <c r="C43" s="57"/>
      <c r="D43" s="57"/>
      <c r="E43" s="58" t="s">
        <v>9</v>
      </c>
      <c r="F43" s="58"/>
      <c r="G43" s="58"/>
      <c r="H43" s="59"/>
      <c r="I43" s="59"/>
      <c r="J43" s="59"/>
      <c r="K43" s="60" t="s">
        <v>10</v>
      </c>
      <c r="L43" s="61" t="s">
        <v>11</v>
      </c>
      <c r="M43" s="62"/>
      <c r="N43" s="62"/>
      <c r="O43" s="62"/>
      <c r="P43" s="63" t="s">
        <v>12</v>
      </c>
      <c r="Q43" s="64"/>
      <c r="R43" s="64"/>
      <c r="S43" s="64"/>
      <c r="T43" s="64"/>
    </row>
    <row r="44" spans="1:20" x14ac:dyDescent="0.35">
      <c r="A44" s="65" t="s">
        <v>13</v>
      </c>
      <c r="B44" s="65" t="s">
        <v>14</v>
      </c>
      <c r="C44" s="65" t="s">
        <v>15</v>
      </c>
      <c r="D44" s="65" t="s">
        <v>16</v>
      </c>
      <c r="E44" s="66" t="s">
        <v>17</v>
      </c>
      <c r="F44" s="66" t="s">
        <v>18</v>
      </c>
      <c r="G44" s="66" t="s">
        <v>59</v>
      </c>
      <c r="H44" s="66" t="s">
        <v>20</v>
      </c>
      <c r="I44" s="66" t="s">
        <v>21</v>
      </c>
      <c r="J44" s="66" t="s">
        <v>22</v>
      </c>
      <c r="K44" s="67" t="s">
        <v>60</v>
      </c>
      <c r="L44" s="28" t="s">
        <v>28</v>
      </c>
      <c r="M44" s="28" t="s">
        <v>29</v>
      </c>
      <c r="N44" s="28" t="s">
        <v>30</v>
      </c>
      <c r="O44" s="28" t="s">
        <v>31</v>
      </c>
      <c r="P44" s="68" t="s">
        <v>32</v>
      </c>
      <c r="Q44" s="68" t="s">
        <v>33</v>
      </c>
      <c r="R44" s="68" t="s">
        <v>34</v>
      </c>
      <c r="S44" s="68" t="s">
        <v>35</v>
      </c>
      <c r="T44" s="64" t="s">
        <v>36</v>
      </c>
    </row>
    <row r="45" spans="1:20" x14ac:dyDescent="0.35">
      <c r="A45" s="31">
        <v>1</v>
      </c>
      <c r="B45" s="38">
        <v>43710</v>
      </c>
      <c r="C45" s="33">
        <v>0.48958333333333331</v>
      </c>
      <c r="D45" s="34">
        <v>1</v>
      </c>
      <c r="E45" s="31">
        <v>4.9630000000000001</v>
      </c>
      <c r="F45" s="31">
        <v>9.9860000000000007</v>
      </c>
      <c r="G45" s="35">
        <f>F45-E45</f>
        <v>5.0230000000000006</v>
      </c>
      <c r="H45" s="31">
        <v>7</v>
      </c>
      <c r="I45" s="31">
        <v>1.9630000000000001</v>
      </c>
      <c r="J45" s="31">
        <v>2.4E-2</v>
      </c>
      <c r="K45" s="31">
        <f>(J45+I45)/I45</f>
        <v>1.0122261844116149</v>
      </c>
      <c r="L45" s="35">
        <v>1.89209</v>
      </c>
      <c r="M45" s="31">
        <f>L45/24.305</f>
        <v>7.7847767948981697E-2</v>
      </c>
      <c r="N45" s="31">
        <v>3.3428100000000001</v>
      </c>
      <c r="O45" s="31">
        <f>N45/28.0855</f>
        <v>0.11902262733438963</v>
      </c>
      <c r="P45" s="31">
        <f t="shared" ref="P45:P58" si="9">(M45*10^(-6)*$C$38)/($C$37*$C$39*4)</f>
        <v>9.3802886515737569E-18</v>
      </c>
      <c r="Q45" s="31">
        <f>LOG(P45)</f>
        <v>-17.02778379724387</v>
      </c>
      <c r="R45" s="31">
        <f t="shared" ref="R45:R58" si="10">(O45*10^(-6)*$C$38)/($C$37*$C$39*6)</f>
        <v>9.5611099275786127E-18</v>
      </c>
      <c r="S45" s="31">
        <f t="shared" ref="S45:S57" si="11">LOG(R45)</f>
        <v>-17.019491688535361</v>
      </c>
      <c r="T45" s="31">
        <f t="shared" ref="T45:T57" si="12">O45/M45</f>
        <v>1.5289150924968367</v>
      </c>
    </row>
    <row r="46" spans="1:20" x14ac:dyDescent="0.35">
      <c r="A46" s="35">
        <v>2</v>
      </c>
      <c r="B46" s="32">
        <v>43711</v>
      </c>
      <c r="C46" s="33">
        <v>0.48958333333333331</v>
      </c>
      <c r="D46" s="34">
        <f>D45+24</f>
        <v>25</v>
      </c>
      <c r="E46" s="31">
        <v>4.9560000000000004</v>
      </c>
      <c r="F46" s="35">
        <v>14.581</v>
      </c>
      <c r="G46" s="35">
        <f>F46-E46</f>
        <v>9.625</v>
      </c>
      <c r="H46" s="35">
        <v>6.95</v>
      </c>
      <c r="I46" s="35">
        <v>4.3650000000000002</v>
      </c>
      <c r="J46" s="31">
        <v>7.4999999999999997E-2</v>
      </c>
      <c r="K46" s="31">
        <f>(J46+I46)/I46</f>
        <v>1.0171821305841924</v>
      </c>
      <c r="L46" s="35">
        <v>3.2916400000000001</v>
      </c>
      <c r="M46" s="31">
        <f>L46/24.305</f>
        <v>0.13543056984159638</v>
      </c>
      <c r="N46" s="35">
        <v>7.16831</v>
      </c>
      <c r="O46" s="31">
        <f t="shared" ref="O46:O59" si="13">N46/28.0855</f>
        <v>0.25523170319203858</v>
      </c>
      <c r="P46" s="31">
        <f>(M46*10^(-6)*$C$38)/($C$37*$C$39*4)</f>
        <v>1.6318744529629264E-17</v>
      </c>
      <c r="Q46" s="31">
        <f>LOG(P46)</f>
        <v>-16.787313256417185</v>
      </c>
      <c r="R46" s="31">
        <f>(O46*10^(-6)*$C$38)/($C$37*$C$39*6)</f>
        <v>2.0502810481290001E-17</v>
      </c>
      <c r="S46" s="31">
        <f t="shared" si="11"/>
        <v>-16.688186602707422</v>
      </c>
      <c r="T46" s="31">
        <f t="shared" si="12"/>
        <v>1.8845944714739455</v>
      </c>
    </row>
    <row r="47" spans="1:20" x14ac:dyDescent="0.35">
      <c r="A47" s="31">
        <v>3</v>
      </c>
      <c r="B47" s="38">
        <v>43712</v>
      </c>
      <c r="C47" s="33">
        <v>0.48958333333333298</v>
      </c>
      <c r="D47" s="34">
        <v>1</v>
      </c>
      <c r="E47" s="31">
        <v>4.9029999999999996</v>
      </c>
      <c r="F47" s="35">
        <v>15.473000000000001</v>
      </c>
      <c r="G47" s="35">
        <f t="shared" ref="G47:G57" si="14">F47-E47</f>
        <v>10.57</v>
      </c>
      <c r="H47" s="35">
        <v>6.62</v>
      </c>
      <c r="I47" s="35">
        <v>4.867</v>
      </c>
      <c r="J47" s="35">
        <v>4.7E-2</v>
      </c>
      <c r="K47" s="31">
        <f t="shared" ref="K47:K57" si="15">(J47+I47)/I47</f>
        <v>1.0096568728169304</v>
      </c>
      <c r="L47" s="35">
        <v>3.3679399999999999</v>
      </c>
      <c r="M47" s="31">
        <f t="shared" ref="M47:M57" si="16">L47/24.305</f>
        <v>0.13856984159637933</v>
      </c>
      <c r="N47" s="35">
        <v>7.5490599999999999</v>
      </c>
      <c r="O47" s="31">
        <f t="shared" si="13"/>
        <v>0.26878852076694382</v>
      </c>
      <c r="P47" s="31">
        <f t="shared" si="9"/>
        <v>1.6697011960943355E-17</v>
      </c>
      <c r="Q47" s="31">
        <f t="shared" ref="Q47:Q57" si="17">LOG(P47)</f>
        <v>-16.777361241725593</v>
      </c>
      <c r="R47" s="31">
        <f t="shared" si="10"/>
        <v>2.1591832174095025E-17</v>
      </c>
      <c r="S47" s="31">
        <f t="shared" si="11"/>
        <v>-16.665710504060456</v>
      </c>
      <c r="T47" s="31">
        <f t="shared" si="12"/>
        <v>1.9397331892018772</v>
      </c>
    </row>
    <row r="48" spans="1:20" x14ac:dyDescent="0.35">
      <c r="A48" s="35">
        <v>4</v>
      </c>
      <c r="B48" s="32">
        <v>43713</v>
      </c>
      <c r="C48" s="33">
        <v>0.48958333333333298</v>
      </c>
      <c r="D48" s="34">
        <f>D47+24</f>
        <v>25</v>
      </c>
      <c r="E48" s="35">
        <v>4.9349999999999996</v>
      </c>
      <c r="F48" s="35">
        <v>15.334</v>
      </c>
      <c r="G48" s="35">
        <f t="shared" si="14"/>
        <v>10.399000000000001</v>
      </c>
      <c r="H48" s="35">
        <v>6.93</v>
      </c>
      <c r="I48" s="35">
        <v>4.59</v>
      </c>
      <c r="J48" s="35">
        <v>4.8000000000000001E-2</v>
      </c>
      <c r="K48" s="31">
        <f t="shared" si="15"/>
        <v>1.0104575163398692</v>
      </c>
      <c r="L48" s="35">
        <v>3.5341100000000001</v>
      </c>
      <c r="M48" s="31">
        <f t="shared" si="16"/>
        <v>0.14540670643900433</v>
      </c>
      <c r="N48" s="35">
        <v>8.2476599999999998</v>
      </c>
      <c r="O48" s="31">
        <f t="shared" si="13"/>
        <v>0.29366256609282371</v>
      </c>
      <c r="P48" s="31">
        <f>(M48*10^(-6)*$C$38)/($C$37*$C$39*4)</f>
        <v>1.7520821909324255E-17</v>
      </c>
      <c r="Q48" s="31">
        <f t="shared" si="17"/>
        <v>-16.756445524748322</v>
      </c>
      <c r="R48" s="31">
        <f>(O48*10^(-6)*$C$38)/($C$37*$C$39*6)</f>
        <v>2.3589968890033535E-17</v>
      </c>
      <c r="S48" s="31">
        <f t="shared" si="11"/>
        <v>-16.627272631852669</v>
      </c>
      <c r="T48" s="31">
        <f t="shared" si="12"/>
        <v>2.0195943728084522</v>
      </c>
    </row>
    <row r="49" spans="1:20" x14ac:dyDescent="0.35">
      <c r="A49" s="31">
        <v>5</v>
      </c>
      <c r="B49" s="38">
        <v>43714</v>
      </c>
      <c r="C49" s="33">
        <v>0.48958333333333298</v>
      </c>
      <c r="D49" s="34">
        <f>D48+24</f>
        <v>49</v>
      </c>
      <c r="E49" s="35">
        <v>4.9320000000000004</v>
      </c>
      <c r="F49" s="35">
        <v>15.365</v>
      </c>
      <c r="G49" s="35">
        <f t="shared" si="14"/>
        <v>10.433</v>
      </c>
      <c r="H49" s="35">
        <v>7.09</v>
      </c>
      <c r="I49" s="35">
        <v>4.7</v>
      </c>
      <c r="J49" s="35">
        <v>4.7E-2</v>
      </c>
      <c r="K49" s="31">
        <f t="shared" si="15"/>
        <v>1.01</v>
      </c>
      <c r="L49" s="35">
        <v>3.5779200000000002</v>
      </c>
      <c r="M49" s="31">
        <f t="shared" si="16"/>
        <v>0.14720921621065625</v>
      </c>
      <c r="N49" s="35">
        <v>8.7574799999999993</v>
      </c>
      <c r="O49" s="31">
        <f t="shared" si="13"/>
        <v>0.31181499350198499</v>
      </c>
      <c r="P49" s="31">
        <f t="shared" si="9"/>
        <v>1.7738015830239984E-17</v>
      </c>
      <c r="Q49" s="31">
        <f t="shared" si="17"/>
        <v>-16.751094961853315</v>
      </c>
      <c r="R49" s="31">
        <f t="shared" si="10"/>
        <v>2.5048156780843399E-17</v>
      </c>
      <c r="S49" s="31">
        <f t="shared" si="11"/>
        <v>-16.601224227056662</v>
      </c>
      <c r="T49" s="31">
        <f t="shared" si="12"/>
        <v>2.1181757605160945</v>
      </c>
    </row>
    <row r="50" spans="1:20" x14ac:dyDescent="0.35">
      <c r="A50" s="35">
        <v>6</v>
      </c>
      <c r="B50" s="32">
        <v>43715</v>
      </c>
      <c r="C50" s="33">
        <v>0.48958333333333298</v>
      </c>
      <c r="D50" s="34">
        <f>D49+24</f>
        <v>73</v>
      </c>
      <c r="E50" s="35">
        <v>4.9349999999999996</v>
      </c>
      <c r="F50" s="35">
        <v>15.282999999999999</v>
      </c>
      <c r="G50" s="35">
        <f t="shared" si="14"/>
        <v>10.347999999999999</v>
      </c>
      <c r="H50" s="35">
        <v>7.42</v>
      </c>
      <c r="I50" s="35">
        <v>4.5490000000000004</v>
      </c>
      <c r="J50" s="35">
        <v>4.9000000000000002E-2</v>
      </c>
      <c r="K50" s="31">
        <f t="shared" si="15"/>
        <v>1.0107715981534404</v>
      </c>
      <c r="L50" s="35">
        <v>3.5150100000000002</v>
      </c>
      <c r="M50" s="31">
        <f t="shared" si="16"/>
        <v>0.14462085990536927</v>
      </c>
      <c r="N50" s="35">
        <v>8.5598700000000001</v>
      </c>
      <c r="O50" s="31">
        <f t="shared" si="13"/>
        <v>0.30477897847643803</v>
      </c>
      <c r="P50" s="31">
        <f t="shared" si="9"/>
        <v>1.7426131110659783E-17</v>
      </c>
      <c r="Q50" s="31">
        <f t="shared" si="17"/>
        <v>-16.758799022746459</v>
      </c>
      <c r="R50" s="31">
        <f t="shared" si="10"/>
        <v>2.448295237712653E-17</v>
      </c>
      <c r="S50" s="31">
        <f t="shared" si="11"/>
        <v>-16.611136212188988</v>
      </c>
      <c r="T50" s="31">
        <f t="shared" si="12"/>
        <v>2.1074344231936255</v>
      </c>
    </row>
    <row r="51" spans="1:20" x14ac:dyDescent="0.35">
      <c r="A51" s="31">
        <v>7</v>
      </c>
      <c r="B51" s="32">
        <v>43717</v>
      </c>
      <c r="C51" s="36">
        <v>0.52777777777777779</v>
      </c>
      <c r="D51" s="37">
        <f>D50+2*24+1-5/60</f>
        <v>121.91666666666667</v>
      </c>
      <c r="E51" s="35">
        <v>4.9450000000000003</v>
      </c>
      <c r="F51" s="35">
        <v>15.236000000000001</v>
      </c>
      <c r="G51" s="35">
        <f t="shared" si="14"/>
        <v>10.291</v>
      </c>
      <c r="H51" s="35">
        <v>7.68</v>
      </c>
      <c r="I51" s="35">
        <v>4.7949999999999999</v>
      </c>
      <c r="J51" s="35">
        <v>5.3999999999999999E-2</v>
      </c>
      <c r="K51" s="31">
        <f t="shared" si="15"/>
        <v>1.0112617309697602</v>
      </c>
      <c r="L51" s="35">
        <v>3.3782100000000002</v>
      </c>
      <c r="M51" s="31">
        <f t="shared" si="16"/>
        <v>0.1389923883974491</v>
      </c>
      <c r="N51" s="35">
        <v>8.5688800000000001</v>
      </c>
      <c r="O51" s="31">
        <f t="shared" si="13"/>
        <v>0.3050997845863524</v>
      </c>
      <c r="P51" s="31">
        <f t="shared" si="9"/>
        <v>1.6747926856350904E-17</v>
      </c>
      <c r="Q51" s="31">
        <f t="shared" si="17"/>
        <v>-16.776038944482057</v>
      </c>
      <c r="R51" s="31">
        <f t="shared" si="10"/>
        <v>2.4508722791971367E-17</v>
      </c>
      <c r="S51" s="31">
        <f t="shared" si="11"/>
        <v>-16.610679320280024</v>
      </c>
      <c r="T51" s="31">
        <f t="shared" si="12"/>
        <v>2.1950826811747328</v>
      </c>
    </row>
    <row r="52" spans="1:20" x14ac:dyDescent="0.35">
      <c r="A52" s="35">
        <v>8</v>
      </c>
      <c r="B52" s="32">
        <v>43718</v>
      </c>
      <c r="C52" s="33">
        <v>0.48958333333333298</v>
      </c>
      <c r="D52" s="37">
        <f>D50+3*24</f>
        <v>145</v>
      </c>
      <c r="E52" s="35">
        <v>4.9740000000000002</v>
      </c>
      <c r="F52" s="35">
        <v>15.269</v>
      </c>
      <c r="G52" s="35">
        <f t="shared" si="14"/>
        <v>10.295</v>
      </c>
      <c r="H52" s="35">
        <v>7.31</v>
      </c>
      <c r="I52" s="35">
        <v>4.6429999999999998</v>
      </c>
      <c r="J52" s="35">
        <v>0.05</v>
      </c>
      <c r="K52" s="31">
        <f t="shared" si="15"/>
        <v>1.0107688994184794</v>
      </c>
      <c r="L52" s="35">
        <v>3.26444</v>
      </c>
      <c r="M52" s="31">
        <f t="shared" si="16"/>
        <v>0.13431145854762394</v>
      </c>
      <c r="N52" s="35">
        <v>8.4997299999999996</v>
      </c>
      <c r="O52" s="31">
        <f t="shared" si="13"/>
        <v>0.30263766000249237</v>
      </c>
      <c r="P52" s="31">
        <f t="shared" si="9"/>
        <v>1.6183896900117559E-17</v>
      </c>
      <c r="Q52" s="31">
        <f t="shared" si="17"/>
        <v>-16.790916896911291</v>
      </c>
      <c r="R52" s="31">
        <f t="shared" si="10"/>
        <v>2.4310939863389704E-17</v>
      </c>
      <c r="S52" s="31">
        <f t="shared" si="11"/>
        <v>-16.614198250963586</v>
      </c>
      <c r="T52" s="31">
        <f t="shared" si="12"/>
        <v>2.253252725233295</v>
      </c>
    </row>
    <row r="53" spans="1:20" x14ac:dyDescent="0.35">
      <c r="A53" s="31">
        <v>9</v>
      </c>
      <c r="B53" s="32">
        <v>43719</v>
      </c>
      <c r="C53" s="36">
        <v>0.53125</v>
      </c>
      <c r="D53" s="37">
        <f>D52+25</f>
        <v>170</v>
      </c>
      <c r="E53" s="35">
        <v>4.9950000000000001</v>
      </c>
      <c r="F53" s="35">
        <v>16.998000000000001</v>
      </c>
      <c r="G53" s="35">
        <f t="shared" si="14"/>
        <v>12.003</v>
      </c>
      <c r="H53" s="35">
        <v>7.22</v>
      </c>
      <c r="I53" s="35">
        <v>5.5039999999999996</v>
      </c>
      <c r="J53" s="35">
        <v>0.51</v>
      </c>
      <c r="K53" s="31">
        <f t="shared" si="15"/>
        <v>1.0926598837209303</v>
      </c>
      <c r="L53" s="35">
        <v>3.2953800000000002</v>
      </c>
      <c r="M53" s="31">
        <f t="shared" si="16"/>
        <v>0.1355844476445176</v>
      </c>
      <c r="N53" s="35">
        <v>8.4076000000000004</v>
      </c>
      <c r="O53" s="31">
        <f t="shared" si="13"/>
        <v>0.29935731961332362</v>
      </c>
      <c r="P53" s="31">
        <f t="shared" si="9"/>
        <v>1.6337286078687129E-17</v>
      </c>
      <c r="Q53" s="31">
        <f t="shared" si="17"/>
        <v>-16.786820086049747</v>
      </c>
      <c r="R53" s="31">
        <f t="shared" si="10"/>
        <v>2.4047429506047285E-17</v>
      </c>
      <c r="S53" s="31">
        <f t="shared" si="11"/>
        <v>-16.618931339706041</v>
      </c>
      <c r="T53" s="31">
        <f t="shared" si="12"/>
        <v>2.2079030804343747</v>
      </c>
    </row>
    <row r="54" spans="1:20" x14ac:dyDescent="0.35">
      <c r="A54" s="35">
        <v>10</v>
      </c>
      <c r="B54" s="32">
        <v>43720</v>
      </c>
      <c r="C54" s="36">
        <v>0.5625</v>
      </c>
      <c r="D54" s="37">
        <f>D53+25-15/60</f>
        <v>194.75</v>
      </c>
      <c r="E54" s="35">
        <v>4.9420000000000002</v>
      </c>
      <c r="F54" s="35">
        <v>15.404</v>
      </c>
      <c r="G54" s="35">
        <f t="shared" si="14"/>
        <v>10.462</v>
      </c>
      <c r="H54" s="35">
        <v>7.46</v>
      </c>
      <c r="I54" s="35">
        <v>4.76</v>
      </c>
      <c r="J54" s="35">
        <v>5.5E-2</v>
      </c>
      <c r="K54" s="31">
        <f t="shared" si="15"/>
        <v>1.0115546218487395</v>
      </c>
      <c r="L54" s="35">
        <v>3.1314199999999999</v>
      </c>
      <c r="M54" s="31">
        <f t="shared" si="16"/>
        <v>0.12883851059452786</v>
      </c>
      <c r="N54" s="35">
        <v>8.1793200000000006</v>
      </c>
      <c r="O54" s="31">
        <f t="shared" si="13"/>
        <v>0.29122928201385057</v>
      </c>
      <c r="P54" s="31">
        <f>(M54*10^(-6)*$C$38)/($C$37*$C$39*4)</f>
        <v>1.5524432500204051E-17</v>
      </c>
      <c r="Q54" s="31">
        <f t="shared" si="17"/>
        <v>-16.808984266612544</v>
      </c>
      <c r="R54" s="31">
        <f t="shared" si="10"/>
        <v>2.339450272460663E-17</v>
      </c>
      <c r="S54" s="31">
        <f t="shared" si="11"/>
        <v>-16.63088618177142</v>
      </c>
      <c r="T54" s="31">
        <f t="shared" si="12"/>
        <v>2.2604210547759926</v>
      </c>
    </row>
    <row r="55" spans="1:20" x14ac:dyDescent="0.35">
      <c r="A55" s="31">
        <v>11</v>
      </c>
      <c r="B55" s="32">
        <v>43721</v>
      </c>
      <c r="C55" s="36">
        <v>0.41666666666666669</v>
      </c>
      <c r="D55" s="37">
        <f>D54+21.5</f>
        <v>216.25</v>
      </c>
      <c r="E55" s="35"/>
      <c r="F55" s="35">
        <v>15.137</v>
      </c>
      <c r="G55" s="35">
        <f t="shared" si="14"/>
        <v>15.137</v>
      </c>
      <c r="H55" s="35">
        <v>7.46</v>
      </c>
      <c r="I55" s="35">
        <v>5.1539999999999999</v>
      </c>
      <c r="J55" s="35">
        <v>5.1999999999999998E-2</v>
      </c>
      <c r="K55" s="31">
        <f t="shared" si="15"/>
        <v>1.0100892510671322</v>
      </c>
      <c r="L55" s="35">
        <v>3.0427499999999998</v>
      </c>
      <c r="M55" s="31">
        <f t="shared" si="16"/>
        <v>0.12519029006377289</v>
      </c>
      <c r="N55" s="35">
        <v>7.9596999999999998</v>
      </c>
      <c r="O55" s="31">
        <f t="shared" si="13"/>
        <v>0.28340958857773585</v>
      </c>
      <c r="P55" s="31">
        <f t="shared" si="9"/>
        <v>1.5084839143262767E-17</v>
      </c>
      <c r="Q55" s="31">
        <f t="shared" si="17"/>
        <v>-16.821459316550698</v>
      </c>
      <c r="R55" s="31">
        <f t="shared" si="10"/>
        <v>2.2766345287511845E-17</v>
      </c>
      <c r="S55" s="31">
        <f t="shared" si="11"/>
        <v>-16.642706681675552</v>
      </c>
      <c r="T55" s="31">
        <f t="shared" si="12"/>
        <v>2.2638304331219685</v>
      </c>
    </row>
    <row r="56" spans="1:20" x14ac:dyDescent="0.35">
      <c r="A56" s="31">
        <v>12</v>
      </c>
      <c r="B56" s="32">
        <v>43723</v>
      </c>
      <c r="C56" s="36">
        <v>0.5</v>
      </c>
      <c r="D56" s="37">
        <f>D55+26+24</f>
        <v>266.25</v>
      </c>
      <c r="E56" s="35">
        <v>4.9710000000000001</v>
      </c>
      <c r="F56" s="35">
        <v>15.077999999999999</v>
      </c>
      <c r="G56" s="35">
        <f t="shared" si="14"/>
        <v>10.106999999999999</v>
      </c>
      <c r="H56" s="35">
        <v>7.24</v>
      </c>
      <c r="I56" s="35">
        <v>4.8010000000000002</v>
      </c>
      <c r="J56" s="35">
        <v>4.8000000000000001E-2</v>
      </c>
      <c r="K56" s="31">
        <f t="shared" si="15"/>
        <v>1.0099979171006042</v>
      </c>
      <c r="L56" s="35">
        <v>2.8977300000000001</v>
      </c>
      <c r="M56" s="31">
        <f t="shared" si="16"/>
        <v>0.11922361653980663</v>
      </c>
      <c r="N56" s="35">
        <v>7.6848900000000002</v>
      </c>
      <c r="O56" s="31">
        <f t="shared" si="13"/>
        <v>0.27362482419753964</v>
      </c>
      <c r="P56" s="31">
        <f t="shared" si="9"/>
        <v>1.4365883142094096E-17</v>
      </c>
      <c r="Q56" s="31">
        <f t="shared" si="17"/>
        <v>-16.842667670615384</v>
      </c>
      <c r="R56" s="31">
        <f t="shared" si="10"/>
        <v>2.1980333333737061E-17</v>
      </c>
      <c r="S56" s="31">
        <f t="shared" si="11"/>
        <v>-16.657965725747609</v>
      </c>
      <c r="T56" s="31">
        <f t="shared" si="12"/>
        <v>2.2950555614640429</v>
      </c>
    </row>
    <row r="57" spans="1:20" x14ac:dyDescent="0.35">
      <c r="A57" s="31">
        <v>13</v>
      </c>
      <c r="B57" s="32">
        <v>43724</v>
      </c>
      <c r="C57" s="36">
        <v>0.44097222222222227</v>
      </c>
      <c r="D57" s="37">
        <f>D56+24-1-25/60</f>
        <v>288.83333333333331</v>
      </c>
      <c r="E57" s="35">
        <v>4.9530000000000003</v>
      </c>
      <c r="F57" s="35">
        <v>14.988</v>
      </c>
      <c r="G57" s="35">
        <f t="shared" si="14"/>
        <v>10.035</v>
      </c>
      <c r="H57" s="35">
        <v>7.2</v>
      </c>
      <c r="I57" s="35">
        <v>4.2229999999999999</v>
      </c>
      <c r="J57" s="35">
        <v>5.0999999999999997E-2</v>
      </c>
      <c r="K57" s="31">
        <f t="shared" si="15"/>
        <v>1.0120767227089746</v>
      </c>
      <c r="L57" s="35">
        <v>2.84579</v>
      </c>
      <c r="M57" s="31">
        <f t="shared" si="16"/>
        <v>0.11708660769389015</v>
      </c>
      <c r="N57" s="35">
        <v>7.4980599999999997</v>
      </c>
      <c r="O57" s="31">
        <f t="shared" si="13"/>
        <v>0.26697263712591907</v>
      </c>
      <c r="P57" s="31">
        <f t="shared" si="9"/>
        <v>1.4108383661327992E-17</v>
      </c>
      <c r="Q57" s="31">
        <f t="shared" si="17"/>
        <v>-16.850522738703152</v>
      </c>
      <c r="R57" s="31">
        <f t="shared" si="10"/>
        <v>2.1445961901388376E-17</v>
      </c>
      <c r="S57" s="31">
        <f t="shared" si="11"/>
        <v>-16.668654469868066</v>
      </c>
      <c r="T57" s="31">
        <f t="shared" si="12"/>
        <v>2.2801295757401152</v>
      </c>
    </row>
    <row r="58" spans="1:20" x14ac:dyDescent="0.35">
      <c r="A58" s="35">
        <v>14</v>
      </c>
      <c r="B58" s="32">
        <v>43725</v>
      </c>
      <c r="C58" s="36">
        <v>0.45833333333333331</v>
      </c>
      <c r="D58" s="37">
        <f>D57+24-25/60</f>
        <v>312.41666666666663</v>
      </c>
      <c r="E58" s="35">
        <v>4.952</v>
      </c>
      <c r="F58" s="35">
        <v>15.103999999999999</v>
      </c>
      <c r="G58" s="35">
        <f>F58-E58</f>
        <v>10.151999999999999</v>
      </c>
      <c r="H58" s="35">
        <v>7.28</v>
      </c>
      <c r="I58" s="35">
        <v>4.5330000000000004</v>
      </c>
      <c r="J58" s="35">
        <v>5.0999999999999997E-2</v>
      </c>
      <c r="K58" s="31">
        <f>(J58+I58)/I58</f>
        <v>1.0112508272667109</v>
      </c>
      <c r="L58" s="35">
        <v>2.7887</v>
      </c>
      <c r="M58" s="31">
        <f>L58/24.305</f>
        <v>0.11473770829047521</v>
      </c>
      <c r="N58" s="35">
        <v>7.2619300000000004</v>
      </c>
      <c r="O58" s="31">
        <f t="shared" si="13"/>
        <v>0.2585650958679746</v>
      </c>
      <c r="P58" s="31">
        <f t="shared" si="9"/>
        <v>1.3825352368356542E-17</v>
      </c>
      <c r="Q58" s="31">
        <f>LOG(P58)</f>
        <v>-16.85932379096846</v>
      </c>
      <c r="R58" s="31">
        <f t="shared" si="10"/>
        <v>2.07705825387566E-17</v>
      </c>
      <c r="S58" s="31">
        <f>LOG(R58)</f>
        <v>-16.682551322924713</v>
      </c>
      <c r="T58" s="31">
        <f>O58/M58</f>
        <v>2.2535319880485973</v>
      </c>
    </row>
    <row r="59" spans="1:20" x14ac:dyDescent="0.35">
      <c r="A59" s="35">
        <v>15</v>
      </c>
      <c r="B59" s="32">
        <v>43726</v>
      </c>
      <c r="C59" s="36">
        <v>0.41666666666666669</v>
      </c>
      <c r="D59" s="37">
        <f>D58+23</f>
        <v>335.41666666666663</v>
      </c>
      <c r="E59" s="35">
        <v>4.9489999999999998</v>
      </c>
      <c r="F59" s="35"/>
      <c r="G59" s="35">
        <f>F59-E59</f>
        <v>-4.9489999999999998</v>
      </c>
      <c r="H59" s="35"/>
      <c r="I59" s="35"/>
      <c r="J59" s="35"/>
      <c r="K59" s="31" t="e">
        <f>(J59+I59)/I59</f>
        <v>#DIV/0!</v>
      </c>
      <c r="L59" s="35">
        <v>2.7410399999999999</v>
      </c>
      <c r="M59" s="31">
        <f>L59/24.305</f>
        <v>0.11277679489816909</v>
      </c>
      <c r="N59" s="35">
        <v>7.1381699999999997</v>
      </c>
      <c r="O59" s="31">
        <f t="shared" si="13"/>
        <v>0.25415855156575456</v>
      </c>
      <c r="P59" s="31">
        <f>(M59*10^(-6)*$C$38)/($C$37*$C$39*4)</f>
        <v>1.3589071558704779E-17</v>
      </c>
      <c r="Q59" s="31">
        <f>LOG(P59)</f>
        <v>-16.866810214401088</v>
      </c>
      <c r="R59" s="31">
        <f>(O59*10^(-6)*$C$38)/($C$37*$C$39*6)</f>
        <v>2.0416604010321799E-17</v>
      </c>
      <c r="S59" s="31">
        <f>LOG(R59)</f>
        <v>-16.690016494483743</v>
      </c>
      <c r="T59" s="31">
        <f>O59/M59</f>
        <v>2.2536422656384674</v>
      </c>
    </row>
  </sheetData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7B4E9F-58B5-4C7B-AA3B-A8032631229F}">
  <dimension ref="A1:T59"/>
  <sheetViews>
    <sheetView topLeftCell="A4" workbookViewId="0">
      <selection activeCell="E8" sqref="E8"/>
    </sheetView>
  </sheetViews>
  <sheetFormatPr defaultColWidth="11.6328125" defaultRowHeight="14.5" x14ac:dyDescent="0.35"/>
  <cols>
    <col min="3" max="3" width="13.26953125" bestFit="1" customWidth="1"/>
    <col min="4" max="4" width="14.36328125" bestFit="1" customWidth="1"/>
    <col min="5" max="5" width="19.26953125" bestFit="1" customWidth="1"/>
    <col min="7" max="7" width="19.26953125" bestFit="1" customWidth="1"/>
    <col min="10" max="10" width="13.453125" bestFit="1" customWidth="1"/>
    <col min="11" max="11" width="18.36328125" bestFit="1" customWidth="1"/>
    <col min="12" max="12" width="16.36328125" bestFit="1" customWidth="1"/>
    <col min="15" max="15" width="13.81640625" bestFit="1" customWidth="1"/>
    <col min="16" max="16" width="19.6328125" bestFit="1" customWidth="1"/>
    <col min="17" max="17" width="23.08984375" bestFit="1" customWidth="1"/>
    <col min="18" max="18" width="18.36328125" bestFit="1" customWidth="1"/>
    <col min="19" max="19" width="21.81640625" bestFit="1" customWidth="1"/>
    <col min="20" max="20" width="19.6328125" bestFit="1" customWidth="1"/>
    <col min="21" max="21" width="23.08984375" bestFit="1" customWidth="1"/>
    <col min="22" max="22" width="18.36328125" bestFit="1" customWidth="1"/>
    <col min="23" max="23" width="21.81640625" bestFit="1" customWidth="1"/>
    <col min="24" max="24" width="11.453125" bestFit="1" customWidth="1"/>
  </cols>
  <sheetData>
    <row r="1" spans="1:20" ht="18.5" x14ac:dyDescent="0.45">
      <c r="A1" s="1" t="s">
        <v>76</v>
      </c>
    </row>
    <row r="2" spans="1:20" x14ac:dyDescent="0.35">
      <c r="A2" s="2" t="s">
        <v>0</v>
      </c>
      <c r="C2" s="3"/>
    </row>
    <row r="3" spans="1:20" x14ac:dyDescent="0.35">
      <c r="A3" s="2" t="s">
        <v>1</v>
      </c>
    </row>
    <row r="4" spans="1:20" x14ac:dyDescent="0.35">
      <c r="A4" s="2" t="s">
        <v>2</v>
      </c>
    </row>
    <row r="5" spans="1:20" x14ac:dyDescent="0.35">
      <c r="A5" s="2" t="s">
        <v>3</v>
      </c>
      <c r="C5">
        <f>9.063+0.787-9.096</f>
        <v>0.75400000000000134</v>
      </c>
    </row>
    <row r="6" spans="1:20" x14ac:dyDescent="0.35">
      <c r="A6" s="2" t="s">
        <v>4</v>
      </c>
      <c r="C6">
        <f>AVERAGE(G24:G26)/(90*60)</f>
        <v>1.4319753086419753E-3</v>
      </c>
    </row>
    <row r="7" spans="1:20" ht="15" thickBot="1" x14ac:dyDescent="0.4">
      <c r="A7" s="2" t="s">
        <v>5</v>
      </c>
      <c r="C7">
        <v>2140000</v>
      </c>
    </row>
    <row r="8" spans="1:20" x14ac:dyDescent="0.35">
      <c r="A8" s="4" t="s">
        <v>6</v>
      </c>
      <c r="B8" s="5"/>
      <c r="C8" s="6">
        <f>AVERAGE(Q29:Q29)</f>
        <v>-16.786545025120194</v>
      </c>
    </row>
    <row r="9" spans="1:20" ht="15" thickBot="1" x14ac:dyDescent="0.4">
      <c r="A9" s="7" t="s">
        <v>7</v>
      </c>
      <c r="B9" s="8"/>
      <c r="C9" s="9">
        <f>AVERAGE(S27:S29)</f>
        <v>-16.621838231717899</v>
      </c>
    </row>
    <row r="11" spans="1:20" ht="15.5" x14ac:dyDescent="0.35">
      <c r="C11" s="70" t="s">
        <v>21</v>
      </c>
      <c r="D11" s="70" t="s">
        <v>22</v>
      </c>
      <c r="E11" s="70" t="s">
        <v>60</v>
      </c>
      <c r="F11" s="70" t="s">
        <v>71</v>
      </c>
      <c r="G11" s="70" t="s">
        <v>72</v>
      </c>
      <c r="H11" s="70" t="s">
        <v>73</v>
      </c>
      <c r="I11" s="70" t="s">
        <v>74</v>
      </c>
    </row>
    <row r="12" spans="1:20" ht="15.5" x14ac:dyDescent="0.35">
      <c r="A12" s="71" t="s">
        <v>75</v>
      </c>
      <c r="C12">
        <v>9.9670000000000005</v>
      </c>
      <c r="D12">
        <v>9.1999999999999998E-2</v>
      </c>
      <c r="E12">
        <f>(D12+C12)/C12</f>
        <v>1.0092304605197151</v>
      </c>
      <c r="F12">
        <v>0.38589600000000002</v>
      </c>
      <c r="G12">
        <f>F12/24.305</f>
        <v>1.5877226908043614E-2</v>
      </c>
      <c r="H12">
        <v>0.63079300000000005</v>
      </c>
      <c r="I12">
        <f>H12/28.0855</f>
        <v>2.2459739011233555E-2</v>
      </c>
    </row>
    <row r="13" spans="1:20" ht="15.5" x14ac:dyDescent="0.35">
      <c r="A13" s="71"/>
    </row>
    <row r="15" spans="1:20" x14ac:dyDescent="0.35">
      <c r="A15" s="56" t="s">
        <v>8</v>
      </c>
      <c r="B15" s="57"/>
      <c r="C15" s="57"/>
      <c r="D15" s="57"/>
      <c r="E15" s="58" t="s">
        <v>9</v>
      </c>
      <c r="F15" s="58"/>
      <c r="G15" s="58"/>
      <c r="H15" s="59"/>
      <c r="I15" s="59"/>
      <c r="J15" s="59"/>
      <c r="K15" s="60" t="s">
        <v>10</v>
      </c>
      <c r="L15" s="61" t="s">
        <v>11</v>
      </c>
      <c r="M15" s="62"/>
      <c r="N15" s="62"/>
      <c r="O15" s="62"/>
      <c r="P15" s="63" t="s">
        <v>12</v>
      </c>
      <c r="Q15" s="64"/>
      <c r="R15" s="64"/>
      <c r="S15" s="64"/>
      <c r="T15" s="64"/>
    </row>
    <row r="16" spans="1:20" x14ac:dyDescent="0.35">
      <c r="A16" s="65" t="s">
        <v>13</v>
      </c>
      <c r="B16" s="65" t="s">
        <v>14</v>
      </c>
      <c r="C16" s="65" t="s">
        <v>15</v>
      </c>
      <c r="D16" s="65" t="s">
        <v>16</v>
      </c>
      <c r="E16" s="66" t="s">
        <v>17</v>
      </c>
      <c r="F16" s="66" t="s">
        <v>18</v>
      </c>
      <c r="G16" s="66" t="s">
        <v>59</v>
      </c>
      <c r="H16" s="66" t="s">
        <v>20</v>
      </c>
      <c r="I16" s="66" t="s">
        <v>21</v>
      </c>
      <c r="J16" s="66" t="s">
        <v>22</v>
      </c>
      <c r="K16" s="67" t="s">
        <v>60</v>
      </c>
      <c r="L16" s="28" t="s">
        <v>28</v>
      </c>
      <c r="M16" s="28" t="s">
        <v>29</v>
      </c>
      <c r="N16" s="28" t="s">
        <v>30</v>
      </c>
      <c r="O16" s="28" t="s">
        <v>31</v>
      </c>
      <c r="P16" s="68" t="s">
        <v>32</v>
      </c>
      <c r="Q16" s="68" t="s">
        <v>33</v>
      </c>
      <c r="R16" s="68" t="s">
        <v>34</v>
      </c>
      <c r="S16" s="68" t="s">
        <v>35</v>
      </c>
      <c r="T16" s="64" t="s">
        <v>36</v>
      </c>
    </row>
    <row r="17" spans="1:20" x14ac:dyDescent="0.35">
      <c r="A17" s="31">
        <v>1</v>
      </c>
      <c r="B17" s="38">
        <v>43866</v>
      </c>
      <c r="C17" s="33">
        <v>0.375</v>
      </c>
      <c r="D17" s="34">
        <f>0.5</f>
        <v>0.5</v>
      </c>
      <c r="E17" s="31">
        <v>4.9219999999999997</v>
      </c>
      <c r="F17" s="31">
        <v>12.406000000000001</v>
      </c>
      <c r="G17" s="35">
        <f>F17-E17</f>
        <v>7.4840000000000009</v>
      </c>
      <c r="H17" s="31">
        <v>7.81</v>
      </c>
      <c r="I17" s="31">
        <v>2.976</v>
      </c>
      <c r="J17" s="31">
        <v>4.1000000000000002E-2</v>
      </c>
      <c r="K17" s="31">
        <f>(J17+I17)/I17</f>
        <v>1.01377688172043</v>
      </c>
      <c r="L17" s="31">
        <v>0.97796899999999998</v>
      </c>
      <c r="M17" s="31">
        <f>L17/24.305</f>
        <v>4.0237358568195845E-2</v>
      </c>
      <c r="N17" s="31">
        <v>2.24255</v>
      </c>
      <c r="O17" s="31">
        <f>N17/28.0855</f>
        <v>7.9847252140784392E-2</v>
      </c>
      <c r="P17" s="31">
        <f>((M17-$G$12)*10^(-6)*$C$6)/($C$5*$C$7*4)</f>
        <v>5.4046808071292027E-18</v>
      </c>
      <c r="Q17" s="31">
        <f>LOG(P17)</f>
        <v>-17.267229949776503</v>
      </c>
      <c r="R17" s="31">
        <f>((O17-$I$12)*10^(-6)*$C$6)/($C$5*$C$7*6)</f>
        <v>8.4882187859850077E-18</v>
      </c>
      <c r="S17" s="31">
        <f>LOG(R17)</f>
        <v>-17.071183434912388</v>
      </c>
      <c r="T17" s="31">
        <f>O17/M17</f>
        <v>1.9844059098823834</v>
      </c>
    </row>
    <row r="18" spans="1:20" x14ac:dyDescent="0.35">
      <c r="A18" s="35">
        <v>2</v>
      </c>
      <c r="B18" s="32">
        <v>43866</v>
      </c>
      <c r="C18" s="33">
        <v>0.69097222222222221</v>
      </c>
      <c r="D18" s="34">
        <f>D17+6.5+6/70</f>
        <v>7.0857142857142854</v>
      </c>
      <c r="E18" s="31">
        <v>4.9169999999999998</v>
      </c>
      <c r="F18" s="35">
        <v>13.262</v>
      </c>
      <c r="G18" s="35">
        <f>F18-E18</f>
        <v>8.3450000000000006</v>
      </c>
      <c r="H18" s="35">
        <v>7.76</v>
      </c>
      <c r="I18" s="35">
        <v>3.7789999999999999</v>
      </c>
      <c r="J18" s="31">
        <v>7.0000000000000007E-2</v>
      </c>
      <c r="K18" s="31">
        <f t="shared" ref="K18:K29" si="0">(J18+I18)/I18</f>
        <v>1.0185234188938872</v>
      </c>
      <c r="L18" s="35">
        <v>1.76698</v>
      </c>
      <c r="M18" s="31">
        <f t="shared" ref="M18:M29" si="1">L18/24.305</f>
        <v>7.2700267434684218E-2</v>
      </c>
      <c r="N18" s="35">
        <v>3.9517799999999998</v>
      </c>
      <c r="O18" s="31">
        <f t="shared" ref="O18:O29" si="2">N18/28.0855</f>
        <v>0.14070534617507255</v>
      </c>
      <c r="P18" s="31">
        <f t="shared" ref="P18:P29" si="3">((M18-$G$12)*10^(-6)*$C$6)/($C$5*$C$7*4)</f>
        <v>1.2607090996943328E-17</v>
      </c>
      <c r="Q18" s="31">
        <f t="shared" ref="Q18:Q29" si="4">LOG(P18)</f>
        <v>-16.899385112453135</v>
      </c>
      <c r="R18" s="31">
        <f t="shared" ref="R18:R29" si="5">((O18-$I$12)*10^(-6)*$C$6)/($C$5*$C$7*6)</f>
        <v>1.7489773111835094E-17</v>
      </c>
      <c r="S18" s="31">
        <f t="shared" ref="S18:S29" si="6">LOG(R18)</f>
        <v>-16.757215824421674</v>
      </c>
      <c r="T18" s="31">
        <f t="shared" ref="T18:T29" si="7">O18/M18</f>
        <v>1.9354171743795281</v>
      </c>
    </row>
    <row r="19" spans="1:20" x14ac:dyDescent="0.35">
      <c r="A19" s="31">
        <v>3</v>
      </c>
      <c r="B19" s="38">
        <v>43867</v>
      </c>
      <c r="C19" s="33">
        <v>0.37847222222222227</v>
      </c>
      <c r="D19" s="34">
        <f>D17+24+5/60</f>
        <v>24.583333333333332</v>
      </c>
      <c r="E19" s="31">
        <v>4.9269999999999996</v>
      </c>
      <c r="F19" s="35">
        <v>13.554</v>
      </c>
      <c r="G19" s="35">
        <f t="shared" ref="G19:G29" si="8">F19-E19</f>
        <v>8.6270000000000007</v>
      </c>
      <c r="H19" s="35">
        <v>7.87</v>
      </c>
      <c r="I19" s="35">
        <v>3.9020000000000001</v>
      </c>
      <c r="J19" s="35">
        <v>8.2000000000000003E-2</v>
      </c>
      <c r="K19" s="31">
        <f t="shared" si="0"/>
        <v>1.0210148641722194</v>
      </c>
      <c r="L19" s="35">
        <v>2.2280199999999999</v>
      </c>
      <c r="M19" s="31">
        <f t="shared" si="1"/>
        <v>9.1669203867516966E-2</v>
      </c>
      <c r="N19" s="35">
        <v>4.9070299999999998</v>
      </c>
      <c r="O19" s="31">
        <f t="shared" si="2"/>
        <v>0.17471755888269747</v>
      </c>
      <c r="P19" s="31">
        <f t="shared" si="3"/>
        <v>1.6815649805264002E-17</v>
      </c>
      <c r="Q19" s="31">
        <f t="shared" si="4"/>
        <v>-16.774286345632262</v>
      </c>
      <c r="R19" s="31">
        <f t="shared" si="5"/>
        <v>2.2520538292511944E-17</v>
      </c>
      <c r="S19" s="31">
        <f t="shared" si="6"/>
        <v>-16.647421233062538</v>
      </c>
      <c r="T19" s="31">
        <f t="shared" si="7"/>
        <v>1.9059569791312296</v>
      </c>
    </row>
    <row r="20" spans="1:20" x14ac:dyDescent="0.35">
      <c r="A20" s="35">
        <v>4</v>
      </c>
      <c r="B20" s="32">
        <v>43867</v>
      </c>
      <c r="C20" s="33">
        <v>0.625</v>
      </c>
      <c r="D20" s="34">
        <f>D19+6-5/60</f>
        <v>30.5</v>
      </c>
      <c r="E20" s="35">
        <v>4.9290000000000003</v>
      </c>
      <c r="F20" s="35">
        <v>12.423999999999999</v>
      </c>
      <c r="G20" s="35">
        <f t="shared" si="8"/>
        <v>7.4949999999999992</v>
      </c>
      <c r="H20" s="35">
        <v>7.64</v>
      </c>
      <c r="I20" s="35">
        <v>3.2879999999999998</v>
      </c>
      <c r="J20" s="35">
        <v>9.4E-2</v>
      </c>
      <c r="K20" s="31">
        <f t="shared" si="0"/>
        <v>1.028588807785888</v>
      </c>
      <c r="L20" s="35">
        <v>2.3201499999999999</v>
      </c>
      <c r="M20" s="31">
        <f t="shared" si="1"/>
        <v>9.545978193787287E-2</v>
      </c>
      <c r="N20" s="35">
        <v>5.0516800000000002</v>
      </c>
      <c r="O20" s="31">
        <f t="shared" si="2"/>
        <v>0.17986790336650585</v>
      </c>
      <c r="P20" s="31">
        <f t="shared" si="3"/>
        <v>1.7656649551512887E-17</v>
      </c>
      <c r="Q20" s="31">
        <f t="shared" si="4"/>
        <v>-16.75309170275936</v>
      </c>
      <c r="R20" s="31">
        <f t="shared" si="5"/>
        <v>2.3282328591789523E-17</v>
      </c>
      <c r="S20" s="31">
        <f t="shared" si="6"/>
        <v>-16.632973585706402</v>
      </c>
      <c r="T20" s="31">
        <f t="shared" si="7"/>
        <v>1.8842270505454064</v>
      </c>
    </row>
    <row r="21" spans="1:20" x14ac:dyDescent="0.35">
      <c r="A21" s="31">
        <v>5</v>
      </c>
      <c r="B21" s="38">
        <v>43868</v>
      </c>
      <c r="C21" s="33">
        <v>0.48958333333333331</v>
      </c>
      <c r="D21" s="34">
        <f>D19+24+2+40/60</f>
        <v>51.249999999999993</v>
      </c>
      <c r="E21" s="35">
        <v>4.899</v>
      </c>
      <c r="F21" s="35">
        <v>13.285</v>
      </c>
      <c r="G21" s="35">
        <f t="shared" si="8"/>
        <v>8.3859999999999992</v>
      </c>
      <c r="H21" s="35">
        <v>7.69</v>
      </c>
      <c r="I21" s="35">
        <v>3.5859999999999999</v>
      </c>
      <c r="J21" s="35">
        <v>9.8000000000000004E-2</v>
      </c>
      <c r="K21" s="31">
        <f t="shared" si="0"/>
        <v>1.0273284997211378</v>
      </c>
      <c r="L21" s="35">
        <v>2.4582700000000002</v>
      </c>
      <c r="M21" s="31">
        <f t="shared" si="1"/>
        <v>0.10114256325858878</v>
      </c>
      <c r="N21" s="35">
        <v>5.2997199999999998</v>
      </c>
      <c r="O21" s="31">
        <f t="shared" si="2"/>
        <v>0.18869950686297199</v>
      </c>
      <c r="P21" s="31">
        <f t="shared" si="3"/>
        <v>1.8917464540679234E-17</v>
      </c>
      <c r="Q21" s="31">
        <f t="shared" si="4"/>
        <v>-16.723137071410971</v>
      </c>
      <c r="R21" s="31">
        <f t="shared" si="5"/>
        <v>2.4588615946319843E-17</v>
      </c>
      <c r="S21" s="31">
        <f t="shared" si="6"/>
        <v>-16.60926591631182</v>
      </c>
      <c r="T21" s="31">
        <f t="shared" si="7"/>
        <v>1.8656785114346812</v>
      </c>
    </row>
    <row r="22" spans="1:20" x14ac:dyDescent="0.35">
      <c r="A22" s="35">
        <v>6</v>
      </c>
      <c r="B22" s="32">
        <v>43869</v>
      </c>
      <c r="C22" s="33">
        <v>0.62847222222222221</v>
      </c>
      <c r="D22" s="34">
        <f>D20+2*24+5/60</f>
        <v>78.583333333333329</v>
      </c>
      <c r="E22" s="35">
        <v>4.9210000000000003</v>
      </c>
      <c r="F22" s="35">
        <v>15.2</v>
      </c>
      <c r="G22" s="35">
        <f t="shared" si="8"/>
        <v>10.279</v>
      </c>
      <c r="H22" s="35">
        <v>7.68</v>
      </c>
      <c r="I22" s="35">
        <v>4.4390000000000001</v>
      </c>
      <c r="J22" s="35">
        <v>8.7999999999999995E-2</v>
      </c>
      <c r="K22" s="31">
        <f t="shared" si="0"/>
        <v>1.0198242847488173</v>
      </c>
      <c r="L22" s="35">
        <v>2.5127299999999999</v>
      </c>
      <c r="M22" s="31">
        <f t="shared" si="1"/>
        <v>0.10338325447438798</v>
      </c>
      <c r="N22" s="35">
        <v>5.4160599999999999</v>
      </c>
      <c r="O22" s="31">
        <f t="shared" si="2"/>
        <v>0.19284185789820368</v>
      </c>
      <c r="P22" s="31">
        <f t="shared" si="3"/>
        <v>1.9414597354971145E-17</v>
      </c>
      <c r="Q22" s="31">
        <f t="shared" si="4"/>
        <v>-16.711871611985174</v>
      </c>
      <c r="R22" s="31">
        <f t="shared" si="5"/>
        <v>2.5201313377484395E-17</v>
      </c>
      <c r="S22" s="31">
        <f t="shared" si="6"/>
        <v>-16.598576825181521</v>
      </c>
      <c r="T22" s="31">
        <f t="shared" si="7"/>
        <v>1.865310382021085</v>
      </c>
    </row>
    <row r="23" spans="1:20" x14ac:dyDescent="0.35">
      <c r="A23" s="31">
        <v>7</v>
      </c>
      <c r="B23" s="32">
        <v>43870</v>
      </c>
      <c r="C23" s="36">
        <v>0.51388888888888895</v>
      </c>
      <c r="D23" s="37">
        <f>D21+2*24+35/60</f>
        <v>99.833333333333329</v>
      </c>
      <c r="E23" s="35">
        <v>4.9169999999999998</v>
      </c>
      <c r="F23" s="35">
        <v>16.395</v>
      </c>
      <c r="G23" s="35">
        <f t="shared" si="8"/>
        <v>11.478</v>
      </c>
      <c r="H23" s="35">
        <v>7.82</v>
      </c>
      <c r="I23" s="35">
        <v>4.1070000000000002</v>
      </c>
      <c r="J23" s="35">
        <v>8.3000000000000004E-2</v>
      </c>
      <c r="K23" s="31">
        <f t="shared" si="0"/>
        <v>1.0202093985877769</v>
      </c>
      <c r="L23" s="35">
        <v>2.5068899999999998</v>
      </c>
      <c r="M23" s="31">
        <f t="shared" si="1"/>
        <v>0.10314297469656449</v>
      </c>
      <c r="N23" s="35">
        <v>5.4809799999999997</v>
      </c>
      <c r="O23" s="31">
        <f t="shared" si="2"/>
        <v>0.19515337095654339</v>
      </c>
      <c r="P23" s="31">
        <f t="shared" si="3"/>
        <v>1.9361287482854636E-17</v>
      </c>
      <c r="Q23" s="31">
        <f t="shared" si="4"/>
        <v>-16.713065766443538</v>
      </c>
      <c r="R23" s="31">
        <f t="shared" si="5"/>
        <v>2.5543210551553533E-17</v>
      </c>
      <c r="S23" s="31">
        <f t="shared" si="6"/>
        <v>-16.592724516736155</v>
      </c>
      <c r="T23" s="31">
        <f t="shared" si="7"/>
        <v>1.8920665370633685</v>
      </c>
    </row>
    <row r="24" spans="1:20" x14ac:dyDescent="0.35">
      <c r="A24" s="35">
        <v>8</v>
      </c>
      <c r="B24" s="32">
        <v>43871</v>
      </c>
      <c r="C24" s="33">
        <v>0.61805555555555558</v>
      </c>
      <c r="D24" s="37">
        <f>D22+2*24-15/60</f>
        <v>126.33333333333333</v>
      </c>
      <c r="E24" s="35">
        <v>4.9379999999999997</v>
      </c>
      <c r="F24" s="35">
        <v>12.89</v>
      </c>
      <c r="G24" s="35">
        <f t="shared" si="8"/>
        <v>7.9520000000000008</v>
      </c>
      <c r="H24" s="35">
        <v>7.88</v>
      </c>
      <c r="I24" s="35">
        <v>3.528</v>
      </c>
      <c r="J24" s="35">
        <v>8.3000000000000004E-2</v>
      </c>
      <c r="K24" s="31">
        <f t="shared" si="0"/>
        <v>1.0235260770975056</v>
      </c>
      <c r="L24" s="35">
        <v>2.2279</v>
      </c>
      <c r="M24" s="31">
        <f t="shared" si="1"/>
        <v>9.1664266611808265E-2</v>
      </c>
      <c r="N24" s="35">
        <v>5.1921799999999996</v>
      </c>
      <c r="O24" s="31">
        <f t="shared" si="2"/>
        <v>0.18487048476972101</v>
      </c>
      <c r="P24" s="31">
        <f t="shared" si="3"/>
        <v>1.6814554396932843E-17</v>
      </c>
      <c r="Q24" s="31">
        <f t="shared" si="4"/>
        <v>-16.7743146374494</v>
      </c>
      <c r="R24" s="31">
        <f t="shared" si="5"/>
        <v>2.402226317214555E-17</v>
      </c>
      <c r="S24" s="31">
        <f t="shared" si="6"/>
        <v>-16.619386079494582</v>
      </c>
      <c r="T24" s="31">
        <f t="shared" si="7"/>
        <v>2.0168217300274112</v>
      </c>
    </row>
    <row r="25" spans="1:20" x14ac:dyDescent="0.35">
      <c r="A25" s="31">
        <v>9</v>
      </c>
      <c r="B25" s="32">
        <v>43872</v>
      </c>
      <c r="C25" s="36">
        <v>0.42708333333333331</v>
      </c>
      <c r="D25" s="37">
        <f>D23+2*24-2-5/60</f>
        <v>145.74999999999997</v>
      </c>
      <c r="E25" s="35">
        <v>4.9169999999999998</v>
      </c>
      <c r="F25" s="35">
        <v>12.815</v>
      </c>
      <c r="G25" s="35">
        <f t="shared" si="8"/>
        <v>7.8979999999999997</v>
      </c>
      <c r="H25" s="35">
        <v>7.9</v>
      </c>
      <c r="I25" s="35">
        <v>3.3380000000000001</v>
      </c>
      <c r="J25" s="35">
        <v>0.08</v>
      </c>
      <c r="K25" s="31">
        <f t="shared" si="0"/>
        <v>1.023966446974236</v>
      </c>
      <c r="L25" s="35">
        <v>2.24254</v>
      </c>
      <c r="M25" s="31">
        <f t="shared" si="1"/>
        <v>9.2266611808269908E-2</v>
      </c>
      <c r="N25" s="35">
        <v>5.1023800000000001</v>
      </c>
      <c r="O25" s="31">
        <f t="shared" si="2"/>
        <v>0.18167310533905398</v>
      </c>
      <c r="P25" s="31">
        <f t="shared" si="3"/>
        <v>1.694819421333449E-17</v>
      </c>
      <c r="Q25" s="31">
        <f t="shared" si="4"/>
        <v>-16.770876567960155</v>
      </c>
      <c r="R25" s="31">
        <f t="shared" si="5"/>
        <v>2.354933701331302E-17</v>
      </c>
      <c r="S25" s="31">
        <f t="shared" si="6"/>
        <v>-16.628021315096138</v>
      </c>
      <c r="T25" s="31">
        <f t="shared" si="7"/>
        <v>1.9690015898337183</v>
      </c>
    </row>
    <row r="26" spans="1:20" x14ac:dyDescent="0.35">
      <c r="A26" s="35">
        <v>10</v>
      </c>
      <c r="B26" s="32">
        <v>43872</v>
      </c>
      <c r="C26" s="36">
        <v>0.65625</v>
      </c>
      <c r="D26" s="37">
        <f>D25+5.5</f>
        <v>151.24999999999997</v>
      </c>
      <c r="E26" s="35">
        <v>4.931</v>
      </c>
      <c r="F26" s="35">
        <v>12.279</v>
      </c>
      <c r="G26" s="35">
        <f t="shared" si="8"/>
        <v>7.3479999999999999</v>
      </c>
      <c r="H26" s="35">
        <v>7.68</v>
      </c>
      <c r="I26" s="35">
        <v>3.165</v>
      </c>
      <c r="J26" s="35">
        <v>6.2E-2</v>
      </c>
      <c r="K26" s="31">
        <f t="shared" si="0"/>
        <v>1.0195892575039494</v>
      </c>
      <c r="L26" s="35">
        <v>3.07782</v>
      </c>
      <c r="M26" s="31">
        <f t="shared" si="1"/>
        <v>0.12663320304464101</v>
      </c>
      <c r="N26" s="35">
        <v>7.7223899999999999</v>
      </c>
      <c r="O26" s="31">
        <f t="shared" si="2"/>
        <v>0.27496003275711667</v>
      </c>
      <c r="P26" s="31">
        <f t="shared" si="3"/>
        <v>2.4572966470436031E-17</v>
      </c>
      <c r="Q26" s="31">
        <f t="shared" si="4"/>
        <v>-16.609542411937735</v>
      </c>
      <c r="R26" s="31">
        <f t="shared" si="5"/>
        <v>3.7347458008890251E-17</v>
      </c>
      <c r="S26" s="31">
        <f t="shared" si="6"/>
        <v>-16.42773895235678</v>
      </c>
      <c r="T26" s="31">
        <f t="shared" si="7"/>
        <v>2.1713107316742764</v>
      </c>
    </row>
    <row r="27" spans="1:20" x14ac:dyDescent="0.35">
      <c r="A27" s="31">
        <v>11</v>
      </c>
      <c r="B27" s="32">
        <v>43873</v>
      </c>
      <c r="C27" s="36">
        <v>0.35416666666666669</v>
      </c>
      <c r="D27" s="37">
        <f>7*24</f>
        <v>168</v>
      </c>
      <c r="E27" s="35">
        <v>4.9539999999999997</v>
      </c>
      <c r="F27" s="35">
        <v>14.025</v>
      </c>
      <c r="G27" s="35">
        <f t="shared" si="8"/>
        <v>9.0710000000000015</v>
      </c>
      <c r="H27" s="35">
        <v>7.66</v>
      </c>
      <c r="I27" s="35">
        <v>4.1360000000000001</v>
      </c>
      <c r="J27" s="35">
        <v>7.5999999999999998E-2</v>
      </c>
      <c r="K27" s="31">
        <f t="shared" si="0"/>
        <v>1.0183752417794969</v>
      </c>
      <c r="L27" s="35">
        <v>2.1672099999999999</v>
      </c>
      <c r="M27" s="31">
        <f t="shared" si="1"/>
        <v>8.9167249537132273E-2</v>
      </c>
      <c r="N27" s="35">
        <v>5.0818000000000003</v>
      </c>
      <c r="O27" s="31">
        <f t="shared" si="2"/>
        <v>0.18094034288155811</v>
      </c>
      <c r="P27" s="31">
        <f t="shared" si="3"/>
        <v>1.6260551633448151E-17</v>
      </c>
      <c r="Q27" s="31">
        <f t="shared" si="4"/>
        <v>-16.788864725205737</v>
      </c>
      <c r="R27" s="31">
        <f t="shared" si="5"/>
        <v>2.3440953713215314E-17</v>
      </c>
      <c r="S27" s="31">
        <f t="shared" si="6"/>
        <v>-16.63002472268975</v>
      </c>
      <c r="T27" s="31">
        <f t="shared" si="7"/>
        <v>2.0292242254955775</v>
      </c>
    </row>
    <row r="28" spans="1:20" x14ac:dyDescent="0.35">
      <c r="A28" s="31">
        <v>12</v>
      </c>
      <c r="B28" s="32">
        <v>43873</v>
      </c>
      <c r="C28" s="36">
        <v>0.60416666666666663</v>
      </c>
      <c r="D28" s="37">
        <f>D27+6</f>
        <v>174</v>
      </c>
      <c r="E28" s="35">
        <v>4.9119999999999999</v>
      </c>
      <c r="F28" s="35">
        <v>13.311999999999999</v>
      </c>
      <c r="G28" s="35">
        <f t="shared" si="8"/>
        <v>8.3999999999999986</v>
      </c>
      <c r="H28" s="35">
        <v>7.66</v>
      </c>
      <c r="I28" s="35">
        <v>3.5910000000000002</v>
      </c>
      <c r="J28" s="35">
        <v>7.2999999999999995E-2</v>
      </c>
      <c r="K28" s="31">
        <f t="shared" si="0"/>
        <v>1.0203285992759676</v>
      </c>
      <c r="L28" s="35">
        <v>2.32619</v>
      </c>
      <c r="M28" s="31">
        <f t="shared" si="1"/>
        <v>9.5708290475210858E-2</v>
      </c>
      <c r="N28" s="35">
        <v>5.2020299999999997</v>
      </c>
      <c r="O28" s="31">
        <f t="shared" si="2"/>
        <v>0.18522119955136992</v>
      </c>
      <c r="P28" s="31">
        <f t="shared" si="3"/>
        <v>1.771178510418132E-17</v>
      </c>
      <c r="Q28" s="31">
        <f t="shared" si="4"/>
        <v>-16.751737665697195</v>
      </c>
      <c r="R28" s="31">
        <f t="shared" si="5"/>
        <v>2.4074137589344895E-17</v>
      </c>
      <c r="S28" s="31">
        <f>LOG(R28)</f>
        <v>-16.618449261706946</v>
      </c>
      <c r="T28" s="31">
        <f t="shared" si="7"/>
        <v>1.9352680800347548</v>
      </c>
    </row>
    <row r="29" spans="1:20" x14ac:dyDescent="0.35">
      <c r="A29" s="31">
        <v>13</v>
      </c>
      <c r="B29" s="32">
        <v>43874</v>
      </c>
      <c r="C29" s="36">
        <v>0.44791666666666669</v>
      </c>
      <c r="D29" s="37">
        <f>D25+2*24+0.5</f>
        <v>194.24999999999997</v>
      </c>
      <c r="E29" s="35">
        <v>5.3630000000000004</v>
      </c>
      <c r="F29" s="35"/>
      <c r="G29" s="35">
        <f t="shared" si="8"/>
        <v>-5.3630000000000004</v>
      </c>
      <c r="H29" s="35">
        <v>7.64</v>
      </c>
      <c r="I29" s="35">
        <v>3.2440000000000002</v>
      </c>
      <c r="J29" s="35">
        <v>7.6999999999999999E-2</v>
      </c>
      <c r="K29" s="31">
        <f t="shared" si="0"/>
        <v>1.0237361282367448</v>
      </c>
      <c r="L29" s="35">
        <v>2.1767500000000002</v>
      </c>
      <c r="M29" s="31">
        <f t="shared" si="1"/>
        <v>8.9559761365974086E-2</v>
      </c>
      <c r="N29" s="35">
        <v>5.2168799999999997</v>
      </c>
      <c r="O29" s="31">
        <f t="shared" si="2"/>
        <v>0.18574994214096241</v>
      </c>
      <c r="P29" s="31">
        <f t="shared" si="3"/>
        <v>1.6347636595775454E-17</v>
      </c>
      <c r="Q29" s="31">
        <f t="shared" si="4"/>
        <v>-16.786545025120194</v>
      </c>
      <c r="R29" s="31">
        <f t="shared" si="5"/>
        <v>2.4152344198015976E-17</v>
      </c>
      <c r="S29" s="31">
        <f t="shared" si="6"/>
        <v>-16.617040710756992</v>
      </c>
      <c r="T29" s="31">
        <f t="shared" si="7"/>
        <v>2.0740334644474978</v>
      </c>
    </row>
    <row r="35" spans="1:20" ht="18.5" x14ac:dyDescent="0.45">
      <c r="A35" s="1" t="s">
        <v>77</v>
      </c>
    </row>
    <row r="36" spans="1:20" x14ac:dyDescent="0.35">
      <c r="A36" s="2" t="s">
        <v>0</v>
      </c>
      <c r="C36" s="3"/>
    </row>
    <row r="37" spans="1:20" x14ac:dyDescent="0.35">
      <c r="A37" s="2" t="s">
        <v>1</v>
      </c>
    </row>
    <row r="38" spans="1:20" x14ac:dyDescent="0.35">
      <c r="A38" s="2" t="s">
        <v>2</v>
      </c>
    </row>
    <row r="39" spans="1:20" x14ac:dyDescent="0.35">
      <c r="A39" s="2" t="s">
        <v>3</v>
      </c>
      <c r="C39">
        <f>9.072+0.786-9.124</f>
        <v>0.73399999999999821</v>
      </c>
    </row>
    <row r="40" spans="1:20" x14ac:dyDescent="0.35">
      <c r="A40" s="2" t="s">
        <v>4</v>
      </c>
      <c r="C40">
        <f>AVERAGE(G55:G58)/(90*60)</f>
        <v>1.4728240740740741E-3</v>
      </c>
    </row>
    <row r="41" spans="1:20" ht="15" thickBot="1" x14ac:dyDescent="0.4">
      <c r="A41" s="2" t="s">
        <v>5</v>
      </c>
      <c r="C41">
        <v>2140000</v>
      </c>
    </row>
    <row r="42" spans="1:20" x14ac:dyDescent="0.35">
      <c r="A42" s="4" t="s">
        <v>6</v>
      </c>
      <c r="B42" s="5"/>
      <c r="C42" s="6">
        <f>AVERAGE(Q59:Q59)</f>
        <v>-16.739406811762677</v>
      </c>
    </row>
    <row r="43" spans="1:20" ht="15" thickBot="1" x14ac:dyDescent="0.4">
      <c r="A43" s="7" t="s">
        <v>7</v>
      </c>
      <c r="B43" s="8"/>
      <c r="C43" s="9">
        <f>AVERAGE(S59:S59)</f>
        <v>-16.569883914185148</v>
      </c>
    </row>
    <row r="45" spans="1:20" x14ac:dyDescent="0.35">
      <c r="A45" s="56" t="s">
        <v>8</v>
      </c>
      <c r="B45" s="57"/>
      <c r="C45" s="57"/>
      <c r="D45" s="57"/>
      <c r="E45" s="58" t="s">
        <v>9</v>
      </c>
      <c r="F45" s="58"/>
      <c r="G45" s="58"/>
      <c r="H45" s="59"/>
      <c r="I45" s="59"/>
      <c r="J45" s="59"/>
      <c r="K45" s="60" t="s">
        <v>10</v>
      </c>
      <c r="L45" s="61" t="s">
        <v>11</v>
      </c>
      <c r="M45" s="62"/>
      <c r="N45" s="62"/>
      <c r="O45" s="62"/>
      <c r="P45" s="63" t="s">
        <v>12</v>
      </c>
      <c r="Q45" s="64"/>
      <c r="R45" s="64"/>
      <c r="S45" s="64"/>
      <c r="T45" s="64"/>
    </row>
    <row r="46" spans="1:20" x14ac:dyDescent="0.35">
      <c r="A46" s="65" t="s">
        <v>13</v>
      </c>
      <c r="B46" s="65" t="s">
        <v>14</v>
      </c>
      <c r="C46" s="65" t="s">
        <v>15</v>
      </c>
      <c r="D46" s="65" t="s">
        <v>16</v>
      </c>
      <c r="E46" s="66" t="s">
        <v>17</v>
      </c>
      <c r="F46" s="66" t="s">
        <v>18</v>
      </c>
      <c r="G46" s="66" t="s">
        <v>59</v>
      </c>
      <c r="H46" s="66" t="s">
        <v>20</v>
      </c>
      <c r="I46" s="66" t="s">
        <v>21</v>
      </c>
      <c r="J46" s="66" t="s">
        <v>22</v>
      </c>
      <c r="K46" s="67" t="s">
        <v>60</v>
      </c>
      <c r="L46" s="28" t="s">
        <v>28</v>
      </c>
      <c r="M46" s="28" t="s">
        <v>29</v>
      </c>
      <c r="N46" s="28" t="s">
        <v>30</v>
      </c>
      <c r="O46" s="28" t="s">
        <v>31</v>
      </c>
      <c r="P46" s="68" t="s">
        <v>32</v>
      </c>
      <c r="Q46" s="68" t="s">
        <v>33</v>
      </c>
      <c r="R46" s="68" t="s">
        <v>34</v>
      </c>
      <c r="S46" s="68" t="s">
        <v>35</v>
      </c>
      <c r="T46" s="64" t="s">
        <v>36</v>
      </c>
    </row>
    <row r="47" spans="1:20" x14ac:dyDescent="0.35">
      <c r="A47" s="31">
        <v>1</v>
      </c>
      <c r="B47" s="38">
        <v>43866</v>
      </c>
      <c r="C47" s="33">
        <v>0.375</v>
      </c>
      <c r="D47" s="34">
        <f>0.5</f>
        <v>0.5</v>
      </c>
      <c r="E47" s="31">
        <v>4.8970000000000002</v>
      </c>
      <c r="F47" s="31">
        <v>8.0039999999999996</v>
      </c>
      <c r="G47" s="35">
        <f>F47-E47</f>
        <v>3.1069999999999993</v>
      </c>
      <c r="H47" s="31">
        <v>7.74</v>
      </c>
      <c r="I47" s="31">
        <v>2.8079999999999998</v>
      </c>
      <c r="J47" s="31">
        <v>5.5E-2</v>
      </c>
      <c r="K47" s="31">
        <f>(J47+I47)/I47</f>
        <v>1.0195868945868947</v>
      </c>
      <c r="L47" s="31">
        <v>0.98434100000000002</v>
      </c>
      <c r="M47" s="31">
        <f>L47/24.305</f>
        <v>4.0499526846327918E-2</v>
      </c>
      <c r="N47">
        <v>1.7470600000000001</v>
      </c>
      <c r="O47" s="31">
        <f>N47/28.0855</f>
        <v>6.2205052429189445E-2</v>
      </c>
      <c r="P47" s="31">
        <f>((M47-$G$12)*10^(-6)*$C$6)/($C$5*$C$7*4)</f>
        <v>5.4628469895138531E-18</v>
      </c>
      <c r="Q47" s="31">
        <f>LOG(P47)</f>
        <v>-17.26258096359679</v>
      </c>
      <c r="R47" s="31">
        <f>((O47-$I$12)*10^(-6)*$C$6)/($C$5*$C$7*6)</f>
        <v>5.8787512755180396E-18</v>
      </c>
      <c r="S47" s="31">
        <f t="shared" ref="S47:S59" si="9">LOG(R47)</f>
        <v>-17.230714914016584</v>
      </c>
      <c r="T47" s="31">
        <f t="shared" ref="T47:T59" si="10">O47/M47</f>
        <v>1.5359451646243012</v>
      </c>
    </row>
    <row r="48" spans="1:20" x14ac:dyDescent="0.35">
      <c r="A48" s="35">
        <v>2</v>
      </c>
      <c r="B48" s="32">
        <v>43866</v>
      </c>
      <c r="C48" s="33">
        <v>0.69097222222222221</v>
      </c>
      <c r="D48" s="34">
        <f>D47+6.5+6/70</f>
        <v>7.0857142857142854</v>
      </c>
      <c r="E48" s="31">
        <v>4.9160000000000004</v>
      </c>
      <c r="F48" s="35">
        <v>12.067</v>
      </c>
      <c r="G48" s="35">
        <f>F48-E48</f>
        <v>7.1509999999999998</v>
      </c>
      <c r="H48" s="35">
        <v>7.78</v>
      </c>
      <c r="I48" s="35">
        <v>3.15</v>
      </c>
      <c r="J48" s="31">
        <v>0.06</v>
      </c>
      <c r="K48" s="31">
        <f>(J48+I48)/I48</f>
        <v>1.019047619047619</v>
      </c>
      <c r="L48" s="35">
        <v>1.6913800000000001</v>
      </c>
      <c r="M48" s="31">
        <f>L48/24.305</f>
        <v>6.9589796338202017E-2</v>
      </c>
      <c r="N48">
        <v>3.4439500000000001</v>
      </c>
      <c r="O48" s="31">
        <f t="shared" ref="O48:O59" si="11">N48/28.0855</f>
        <v>0.1226237738334728</v>
      </c>
      <c r="P48" s="31">
        <f t="shared" ref="P48:P59" si="12">((M48-$G$12)*10^(-6)*$C$6)/($C$5*$C$7*4)</f>
        <v>1.191698374831188E-17</v>
      </c>
      <c r="Q48" s="31">
        <f>LOG(P48)</f>
        <v>-16.923833652920173</v>
      </c>
      <c r="R48" s="31">
        <f t="shared" ref="R48:R59" si="13">((O48-$I$12)*10^(-6)*$C$6)/($C$5*$C$7*6)</f>
        <v>1.4815317752815858E-17</v>
      </c>
      <c r="S48" s="31">
        <f t="shared" si="9"/>
        <v>-16.829289029515373</v>
      </c>
      <c r="T48" s="31">
        <f t="shared" si="10"/>
        <v>1.7620941615855432</v>
      </c>
    </row>
    <row r="49" spans="1:20" x14ac:dyDescent="0.35">
      <c r="A49" s="31">
        <v>3</v>
      </c>
      <c r="B49" s="38">
        <v>43867</v>
      </c>
      <c r="C49" s="33">
        <v>0.37847222222222227</v>
      </c>
      <c r="D49" s="34">
        <f>D47+24+5/60</f>
        <v>24.583333333333332</v>
      </c>
      <c r="E49" s="31">
        <v>4.92</v>
      </c>
      <c r="F49" s="35">
        <v>13.635</v>
      </c>
      <c r="G49" s="35">
        <f t="shared" ref="G49:G59" si="14">F49-E49</f>
        <v>8.7149999999999999</v>
      </c>
      <c r="H49" s="35">
        <v>7.83</v>
      </c>
      <c r="I49" s="35">
        <v>3.681</v>
      </c>
      <c r="J49" s="35">
        <v>5.8000000000000003E-2</v>
      </c>
      <c r="K49" s="31">
        <f t="shared" ref="K49:K59" si="15">(J49+I49)/I49</f>
        <v>1.0157565878837271</v>
      </c>
      <c r="L49" s="35">
        <v>2.1788799999999999</v>
      </c>
      <c r="M49" s="31">
        <f t="shared" ref="M49:M59" si="16">L49/24.305</f>
        <v>8.9647397654803535E-2</v>
      </c>
      <c r="N49">
        <v>4.6142099999999999</v>
      </c>
      <c r="O49" s="31">
        <f t="shared" si="11"/>
        <v>0.16429153833828844</v>
      </c>
      <c r="P49" s="31">
        <f t="shared" si="12"/>
        <v>1.6367080093653564E-17</v>
      </c>
      <c r="Q49" s="31">
        <f t="shared" ref="Q49:Q59" si="17">LOG(P49)</f>
        <v>-16.786028792324309</v>
      </c>
      <c r="R49" s="31">
        <f t="shared" si="13"/>
        <v>2.0978419831160682E-17</v>
      </c>
      <c r="S49" s="31">
        <f t="shared" si="9"/>
        <v>-16.678227227508163</v>
      </c>
      <c r="T49" s="31">
        <f t="shared" si="10"/>
        <v>1.8326414668600843</v>
      </c>
    </row>
    <row r="50" spans="1:20" x14ac:dyDescent="0.35">
      <c r="A50" s="35">
        <v>4</v>
      </c>
      <c r="B50" s="32">
        <v>43867</v>
      </c>
      <c r="C50" s="33">
        <v>0.625</v>
      </c>
      <c r="D50" s="34">
        <f>D49+6-5/60</f>
        <v>30.5</v>
      </c>
      <c r="E50" s="35">
        <v>4.923</v>
      </c>
      <c r="F50" s="35">
        <v>13.382</v>
      </c>
      <c r="G50" s="35">
        <f t="shared" si="14"/>
        <v>8.4589999999999996</v>
      </c>
      <c r="H50" s="35">
        <v>7.84</v>
      </c>
      <c r="I50" s="35">
        <v>3.9940000000000002</v>
      </c>
      <c r="J50" s="35">
        <v>8.4000000000000005E-2</v>
      </c>
      <c r="K50" s="31">
        <f t="shared" si="15"/>
        <v>1.0210315473209814</v>
      </c>
      <c r="L50" s="35">
        <v>2.2761100000000001</v>
      </c>
      <c r="M50" s="31">
        <f t="shared" si="16"/>
        <v>9.3647809092779269E-2</v>
      </c>
      <c r="N50">
        <v>4.8503999999999996</v>
      </c>
      <c r="O50" s="31">
        <f t="shared" si="11"/>
        <v>0.17270121592992824</v>
      </c>
      <c r="P50" s="31">
        <f t="shared" si="12"/>
        <v>1.7254634693976786E-17</v>
      </c>
      <c r="Q50" s="31">
        <f t="shared" si="17"/>
        <v>-16.763094230928825</v>
      </c>
      <c r="R50" s="31">
        <f t="shared" si="13"/>
        <v>2.2222299891902959E-17</v>
      </c>
      <c r="S50" s="31">
        <f t="shared" si="9"/>
        <v>-16.653210995859876</v>
      </c>
      <c r="T50" s="31">
        <f t="shared" si="10"/>
        <v>1.8441565008619556</v>
      </c>
    </row>
    <row r="51" spans="1:20" x14ac:dyDescent="0.35">
      <c r="A51" s="31">
        <v>5</v>
      </c>
      <c r="B51" s="38">
        <v>43868</v>
      </c>
      <c r="C51" s="33">
        <v>0.48958333333333331</v>
      </c>
      <c r="D51" s="34">
        <f>D49+24+2+40/60</f>
        <v>51.249999999999993</v>
      </c>
      <c r="E51" s="35">
        <v>4.9180000000000001</v>
      </c>
      <c r="F51" s="35">
        <v>13.340999999999999</v>
      </c>
      <c r="G51" s="35">
        <f t="shared" si="14"/>
        <v>8.4229999999999983</v>
      </c>
      <c r="H51" s="35">
        <v>7.9</v>
      </c>
      <c r="I51" s="35">
        <v>3.726</v>
      </c>
      <c r="J51" s="35">
        <v>7.8E-2</v>
      </c>
      <c r="K51" s="31">
        <f t="shared" si="15"/>
        <v>1.0209339774557165</v>
      </c>
      <c r="L51" s="35">
        <v>2.35432</v>
      </c>
      <c r="M51" s="31">
        <f t="shared" si="16"/>
        <v>9.6865665500925735E-2</v>
      </c>
      <c r="N51">
        <v>5.3150500000000003</v>
      </c>
      <c r="O51" s="31">
        <f t="shared" si="11"/>
        <v>0.1892453401221271</v>
      </c>
      <c r="P51" s="31">
        <f t="shared" si="12"/>
        <v>1.7968567073810992E-17</v>
      </c>
      <c r="Q51" s="31">
        <f t="shared" si="17"/>
        <v>-16.745486554874873</v>
      </c>
      <c r="R51" s="31">
        <f t="shared" si="13"/>
        <v>2.4669350445372214E-17</v>
      </c>
      <c r="S51" s="31">
        <f t="shared" si="9"/>
        <v>-16.607842285520576</v>
      </c>
      <c r="T51" s="31">
        <f t="shared" si="10"/>
        <v>1.9536885349775304</v>
      </c>
    </row>
    <row r="52" spans="1:20" x14ac:dyDescent="0.35">
      <c r="A52" s="35">
        <v>6</v>
      </c>
      <c r="B52" s="32">
        <v>43869</v>
      </c>
      <c r="C52" s="33">
        <v>0.62847222222222221</v>
      </c>
      <c r="D52" s="34">
        <f>D50+2*24+5/60</f>
        <v>78.583333333333329</v>
      </c>
      <c r="E52" s="35">
        <v>4.9320000000000004</v>
      </c>
      <c r="F52" s="35">
        <v>15.352</v>
      </c>
      <c r="G52" s="35">
        <f t="shared" si="14"/>
        <v>10.42</v>
      </c>
      <c r="H52" s="35">
        <v>7.97</v>
      </c>
      <c r="I52" s="35">
        <v>4.7869999999999999</v>
      </c>
      <c r="J52" s="35">
        <v>9.0999999999999998E-2</v>
      </c>
      <c r="K52" s="31">
        <f t="shared" si="15"/>
        <v>1.0190098182577816</v>
      </c>
      <c r="L52" s="35">
        <v>2.4353699999999998</v>
      </c>
      <c r="M52" s="31">
        <f t="shared" si="16"/>
        <v>0.10020037029417815</v>
      </c>
      <c r="N52">
        <v>5.3756000000000004</v>
      </c>
      <c r="O52" s="31">
        <f t="shared" si="11"/>
        <v>0.19140125687632409</v>
      </c>
      <c r="P52" s="31">
        <f t="shared" si="12"/>
        <v>1.8708424117482662E-17</v>
      </c>
      <c r="Q52" s="31">
        <f t="shared" si="17"/>
        <v>-16.72796279325388</v>
      </c>
      <c r="R52" s="31">
        <f t="shared" si="13"/>
        <v>2.498823328409504E-17</v>
      </c>
      <c r="S52" s="31">
        <f t="shared" si="9"/>
        <v>-16.602264448238973</v>
      </c>
      <c r="T52" s="31">
        <f t="shared" si="10"/>
        <v>1.9101851252085134</v>
      </c>
    </row>
    <row r="53" spans="1:20" x14ac:dyDescent="0.35">
      <c r="A53" s="31">
        <v>7</v>
      </c>
      <c r="B53" s="32">
        <v>43870</v>
      </c>
      <c r="C53" s="36">
        <v>0.51388888888888895</v>
      </c>
      <c r="D53" s="37">
        <f>D51+2*24+35/60</f>
        <v>99.833333333333329</v>
      </c>
      <c r="E53" s="35">
        <v>4.9509999999999996</v>
      </c>
      <c r="F53" s="35">
        <v>15.692</v>
      </c>
      <c r="G53" s="35">
        <f t="shared" si="14"/>
        <v>10.741</v>
      </c>
      <c r="H53" s="35">
        <v>7.87</v>
      </c>
      <c r="I53" s="35">
        <v>4.6050000000000004</v>
      </c>
      <c r="J53" s="35">
        <v>7.8E-2</v>
      </c>
      <c r="K53" s="31">
        <f t="shared" si="15"/>
        <v>1.0169381107491857</v>
      </c>
      <c r="L53" s="35">
        <v>2.5339700000000001</v>
      </c>
      <c r="M53" s="31">
        <f t="shared" si="16"/>
        <v>0.10425714873482823</v>
      </c>
      <c r="N53">
        <v>5.4722200000000001</v>
      </c>
      <c r="O53" s="31">
        <f t="shared" si="11"/>
        <v>0.19484146623702622</v>
      </c>
      <c r="P53" s="31">
        <f t="shared" si="12"/>
        <v>1.9608484629586647E-17</v>
      </c>
      <c r="Q53" s="31">
        <f t="shared" si="17"/>
        <v>-16.707555967904781</v>
      </c>
      <c r="R53" s="31">
        <f t="shared" si="13"/>
        <v>2.549707655209504E-17</v>
      </c>
      <c r="S53" s="31">
        <f t="shared" si="9"/>
        <v>-16.593509612118108</v>
      </c>
      <c r="T53" s="31">
        <f t="shared" si="10"/>
        <v>1.868854736595509</v>
      </c>
    </row>
    <row r="54" spans="1:20" x14ac:dyDescent="0.35">
      <c r="A54" s="35">
        <v>8</v>
      </c>
      <c r="B54" s="32">
        <v>43871</v>
      </c>
      <c r="C54" s="33">
        <v>0.61805555555555558</v>
      </c>
      <c r="D54" s="37">
        <f>D52+2*24-15/60</f>
        <v>126.33333333333333</v>
      </c>
      <c r="E54" s="35">
        <v>4.8979999999999997</v>
      </c>
      <c r="F54" s="35">
        <v>13.154</v>
      </c>
      <c r="G54" s="35">
        <f t="shared" si="14"/>
        <v>8.2560000000000002</v>
      </c>
      <c r="H54" s="35">
        <v>7.97</v>
      </c>
      <c r="I54" s="35">
        <v>3.6</v>
      </c>
      <c r="J54" s="35">
        <v>0.05</v>
      </c>
      <c r="K54" s="31">
        <f t="shared" si="15"/>
        <v>1.0138888888888888</v>
      </c>
      <c r="L54" s="35">
        <v>2.35453</v>
      </c>
      <c r="M54" s="31">
        <f t="shared" si="16"/>
        <v>9.6874305698415972E-2</v>
      </c>
      <c r="N54">
        <v>5.4555199999999999</v>
      </c>
      <c r="O54" s="31">
        <f t="shared" si="11"/>
        <v>0.19424685335849459</v>
      </c>
      <c r="P54" s="31">
        <f t="shared" si="12"/>
        <v>1.797048403839052E-17</v>
      </c>
      <c r="Q54" s="31">
        <f t="shared" si="17"/>
        <v>-16.745440224929371</v>
      </c>
      <c r="R54" s="31">
        <f t="shared" si="13"/>
        <v>2.5409127032579412E-17</v>
      </c>
      <c r="S54" s="31">
        <f t="shared" si="9"/>
        <v>-16.595010255510285</v>
      </c>
      <c r="T54" s="31">
        <f t="shared" si="10"/>
        <v>2.005143179691153</v>
      </c>
    </row>
    <row r="55" spans="1:20" x14ac:dyDescent="0.35">
      <c r="A55" s="31">
        <v>9</v>
      </c>
      <c r="B55" s="32">
        <v>43872</v>
      </c>
      <c r="C55" s="36">
        <v>0.42708333333333331</v>
      </c>
      <c r="D55" s="37">
        <f>D53+2*24-2-5/60</f>
        <v>145.74999999999997</v>
      </c>
      <c r="E55" s="35">
        <v>4.9370000000000003</v>
      </c>
      <c r="F55" s="35">
        <v>12.951000000000001</v>
      </c>
      <c r="G55" s="35">
        <f t="shared" si="14"/>
        <v>8.0139999999999993</v>
      </c>
      <c r="H55" s="35">
        <v>7.95</v>
      </c>
      <c r="I55" s="35">
        <v>3.4340000000000002</v>
      </c>
      <c r="J55" s="35">
        <v>8.8999999999999996E-2</v>
      </c>
      <c r="K55" s="31">
        <f t="shared" si="15"/>
        <v>1.025917297612114</v>
      </c>
      <c r="L55" s="35">
        <v>2.24736</v>
      </c>
      <c r="M55" s="31">
        <f t="shared" si="16"/>
        <v>9.2464924912569427E-2</v>
      </c>
      <c r="N55">
        <v>5.2228300000000001</v>
      </c>
      <c r="O55" s="31">
        <f t="shared" si="11"/>
        <v>0.18596179523241529</v>
      </c>
      <c r="P55" s="31">
        <f t="shared" si="12"/>
        <v>1.6992193114636123E-17</v>
      </c>
      <c r="Q55" s="31">
        <f t="shared" si="17"/>
        <v>-16.76975056485567</v>
      </c>
      <c r="R55" s="31">
        <f t="shared" si="13"/>
        <v>2.4183679505867349E-17</v>
      </c>
      <c r="S55" s="31">
        <f t="shared" si="9"/>
        <v>-16.616477621278285</v>
      </c>
      <c r="T55" s="31">
        <f t="shared" si="10"/>
        <v>2.0111603984781494</v>
      </c>
    </row>
    <row r="56" spans="1:20" x14ac:dyDescent="0.35">
      <c r="A56" s="35">
        <v>10</v>
      </c>
      <c r="B56" s="32">
        <v>43872</v>
      </c>
      <c r="C56" s="36">
        <v>0.65625</v>
      </c>
      <c r="D56" s="37">
        <f>D55+5.5</f>
        <v>151.24999999999997</v>
      </c>
      <c r="E56" s="35">
        <v>4.9180000000000001</v>
      </c>
      <c r="F56" s="35">
        <v>12.478</v>
      </c>
      <c r="G56" s="35">
        <f t="shared" si="14"/>
        <v>7.56</v>
      </c>
      <c r="H56" s="35">
        <v>7.71</v>
      </c>
      <c r="I56" s="35">
        <v>2.9390000000000001</v>
      </c>
      <c r="J56" s="35">
        <v>7.9000000000000001E-2</v>
      </c>
      <c r="K56" s="31">
        <f t="shared" si="15"/>
        <v>1.0268798911194283</v>
      </c>
      <c r="L56" s="35">
        <v>3.27921</v>
      </c>
      <c r="M56" s="31">
        <f t="shared" si="16"/>
        <v>0.13491915243777</v>
      </c>
      <c r="N56">
        <v>8.3306699999999996</v>
      </c>
      <c r="O56" s="31">
        <f t="shared" si="11"/>
        <v>0.29661818376030336</v>
      </c>
      <c r="P56" s="31">
        <f t="shared" si="12"/>
        <v>2.641133550220703E-17</v>
      </c>
      <c r="Q56" s="31">
        <f t="shared" si="17"/>
        <v>-16.578209637923148</v>
      </c>
      <c r="R56" s="31">
        <f t="shared" si="13"/>
        <v>4.0550927094576845E-17</v>
      </c>
      <c r="S56" s="31">
        <f t="shared" si="9"/>
        <v>-16.391999212292372</v>
      </c>
      <c r="T56" s="31">
        <f t="shared" si="10"/>
        <v>2.1984883420989121</v>
      </c>
    </row>
    <row r="57" spans="1:20" x14ac:dyDescent="0.35">
      <c r="A57" s="31">
        <v>11</v>
      </c>
      <c r="B57" s="32">
        <v>43873</v>
      </c>
      <c r="C57" s="36">
        <v>0.35416666666666669</v>
      </c>
      <c r="D57" s="37">
        <f>7*24</f>
        <v>168</v>
      </c>
      <c r="E57" s="35">
        <v>4.9240000000000004</v>
      </c>
      <c r="F57" s="35">
        <v>13.327999999999999</v>
      </c>
      <c r="G57" s="35">
        <f t="shared" si="14"/>
        <v>8.4039999999999999</v>
      </c>
      <c r="H57" s="35">
        <v>7.76</v>
      </c>
      <c r="I57" s="35">
        <v>3.6623000000000001</v>
      </c>
      <c r="J57" s="35">
        <v>6.8000000000000005E-2</v>
      </c>
      <c r="K57" s="31">
        <f t="shared" si="15"/>
        <v>1.0185675668295879</v>
      </c>
      <c r="L57" s="35">
        <v>2.3094899999999998</v>
      </c>
      <c r="M57" s="31">
        <f t="shared" si="16"/>
        <v>9.5021189055749841E-2</v>
      </c>
      <c r="N57">
        <v>5.5702400000000001</v>
      </c>
      <c r="O57" s="31">
        <f t="shared" si="11"/>
        <v>0.19833152338395257</v>
      </c>
      <c r="P57" s="31">
        <f t="shared" si="12"/>
        <v>1.7559340778094745E-17</v>
      </c>
      <c r="Q57" s="31">
        <f t="shared" si="17"/>
        <v>-16.755491792633212</v>
      </c>
      <c r="R57" s="31">
        <f t="shared" si="13"/>
        <v>2.6013292833707125E-17</v>
      </c>
      <c r="S57" s="31">
        <f t="shared" si="9"/>
        <v>-16.584804670141899</v>
      </c>
      <c r="T57" s="31">
        <f t="shared" si="10"/>
        <v>2.087234703699504</v>
      </c>
    </row>
    <row r="58" spans="1:20" x14ac:dyDescent="0.35">
      <c r="A58" s="31">
        <v>12</v>
      </c>
      <c r="B58" s="32">
        <v>43873</v>
      </c>
      <c r="C58" s="36">
        <v>0.60416666666666663</v>
      </c>
      <c r="D58" s="37">
        <f>D57+6</f>
        <v>174</v>
      </c>
      <c r="E58" s="35">
        <v>4.9329999999999998</v>
      </c>
      <c r="F58" s="35">
        <v>12.768000000000001</v>
      </c>
      <c r="G58" s="35">
        <f t="shared" si="14"/>
        <v>7.8350000000000009</v>
      </c>
      <c r="H58" s="35">
        <v>7.72</v>
      </c>
      <c r="I58" s="35">
        <v>3.5910000000000002</v>
      </c>
      <c r="J58" s="35">
        <v>0.04</v>
      </c>
      <c r="K58" s="31">
        <f t="shared" si="15"/>
        <v>1.0111389585073796</v>
      </c>
      <c r="L58" s="35">
        <v>2.4662099999999998</v>
      </c>
      <c r="M58" s="31">
        <f t="shared" si="16"/>
        <v>0.10146924501131453</v>
      </c>
      <c r="N58">
        <v>6.0652400000000002</v>
      </c>
      <c r="O58" s="31">
        <f t="shared" si="11"/>
        <v>0.21595627637036907</v>
      </c>
      <c r="P58" s="31">
        <f t="shared" si="12"/>
        <v>1.8989944058591049E-17</v>
      </c>
      <c r="Q58" s="31">
        <f t="shared" si="17"/>
        <v>-16.721476314624805</v>
      </c>
      <c r="R58" s="31">
        <f t="shared" si="13"/>
        <v>2.8620179789409861E-17</v>
      </c>
      <c r="S58" s="31">
        <f t="shared" si="9"/>
        <v>-16.543327642368578</v>
      </c>
      <c r="T58" s="31">
        <f t="shared" si="10"/>
        <v>2.1282929260613739</v>
      </c>
    </row>
    <row r="59" spans="1:20" x14ac:dyDescent="0.35">
      <c r="A59" s="31">
        <v>13</v>
      </c>
      <c r="B59" s="32">
        <v>43874</v>
      </c>
      <c r="C59" s="36">
        <v>0.44791666666666669</v>
      </c>
      <c r="D59" s="37">
        <f>D55+2*24+0.5</f>
        <v>194.24999999999997</v>
      </c>
      <c r="E59" s="35">
        <v>5.258</v>
      </c>
      <c r="F59" s="35"/>
      <c r="G59" s="35">
        <f t="shared" si="14"/>
        <v>-5.258</v>
      </c>
      <c r="H59" s="35">
        <v>7.76</v>
      </c>
      <c r="I59" s="35">
        <v>2.8159999999999998</v>
      </c>
      <c r="J59" s="35">
        <v>0.04</v>
      </c>
      <c r="K59" s="31">
        <f t="shared" si="15"/>
        <v>1.0142045454545454</v>
      </c>
      <c r="L59" s="35">
        <v>2.3820700000000001</v>
      </c>
      <c r="M59" s="31">
        <f t="shared" si="16"/>
        <v>9.8007405883563062E-2</v>
      </c>
      <c r="N59">
        <v>5.7428900000000001</v>
      </c>
      <c r="O59" s="31">
        <f t="shared" si="11"/>
        <v>0.20447882359224512</v>
      </c>
      <c r="P59" s="31">
        <f t="shared" si="12"/>
        <v>1.8221880250391977E-17</v>
      </c>
      <c r="Q59" s="31">
        <f t="shared" si="17"/>
        <v>-16.739406811762677</v>
      </c>
      <c r="R59" s="31">
        <f t="shared" si="13"/>
        <v>2.6922543405226474E-17</v>
      </c>
      <c r="S59" s="31">
        <f t="shared" si="9"/>
        <v>-16.569883914185148</v>
      </c>
      <c r="T59" s="31">
        <f t="shared" si="10"/>
        <v>2.0863609412861575</v>
      </c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ECE7C7-DA1D-4FC8-84FC-408368F91111}">
  <dimension ref="A1:T59"/>
  <sheetViews>
    <sheetView topLeftCell="A4" workbookViewId="0">
      <selection activeCell="E8" sqref="E8"/>
    </sheetView>
  </sheetViews>
  <sheetFormatPr defaultColWidth="11.6328125" defaultRowHeight="14.5" x14ac:dyDescent="0.35"/>
  <cols>
    <col min="3" max="3" width="13.26953125" bestFit="1" customWidth="1"/>
    <col min="4" max="4" width="14.36328125" bestFit="1" customWidth="1"/>
    <col min="5" max="5" width="19.26953125" bestFit="1" customWidth="1"/>
    <col min="7" max="7" width="19.26953125" bestFit="1" customWidth="1"/>
    <col min="10" max="10" width="13.453125" bestFit="1" customWidth="1"/>
    <col min="11" max="11" width="18.36328125" bestFit="1" customWidth="1"/>
    <col min="12" max="12" width="16.36328125" bestFit="1" customWidth="1"/>
    <col min="15" max="15" width="13.81640625" bestFit="1" customWidth="1"/>
    <col min="16" max="16" width="19.6328125" bestFit="1" customWidth="1"/>
    <col min="17" max="17" width="23.08984375" bestFit="1" customWidth="1"/>
    <col min="18" max="18" width="18.36328125" bestFit="1" customWidth="1"/>
    <col min="19" max="19" width="21.81640625" bestFit="1" customWidth="1"/>
    <col min="20" max="20" width="19.6328125" bestFit="1" customWidth="1"/>
    <col min="21" max="21" width="23.08984375" bestFit="1" customWidth="1"/>
    <col min="22" max="22" width="18.36328125" bestFit="1" customWidth="1"/>
    <col min="23" max="23" width="21.81640625" bestFit="1" customWidth="1"/>
    <col min="24" max="24" width="11.453125" bestFit="1" customWidth="1"/>
  </cols>
  <sheetData>
    <row r="1" spans="1:20" ht="18.5" x14ac:dyDescent="0.45">
      <c r="A1" s="1" t="s">
        <v>78</v>
      </c>
    </row>
    <row r="2" spans="1:20" x14ac:dyDescent="0.35">
      <c r="A2" s="2" t="s">
        <v>0</v>
      </c>
      <c r="C2" s="3"/>
    </row>
    <row r="3" spans="1:20" x14ac:dyDescent="0.35">
      <c r="A3" s="2" t="s">
        <v>1</v>
      </c>
    </row>
    <row r="4" spans="1:20" x14ac:dyDescent="0.35">
      <c r="A4" s="2" t="s">
        <v>2</v>
      </c>
    </row>
    <row r="5" spans="1:20" x14ac:dyDescent="0.35">
      <c r="A5" s="2" t="s">
        <v>3</v>
      </c>
      <c r="C5">
        <f>9.109+0.787-9.139</f>
        <v>0.75700000000000145</v>
      </c>
    </row>
    <row r="6" spans="1:20" x14ac:dyDescent="0.35">
      <c r="A6" s="2" t="s">
        <v>4</v>
      </c>
      <c r="C6">
        <f>AVERAGE(G28:G29)/(2.5*60*60)</f>
        <v>1.7466666666666658E-4</v>
      </c>
    </row>
    <row r="7" spans="1:20" ht="15" thickBot="1" x14ac:dyDescent="0.4">
      <c r="A7" s="2" t="s">
        <v>5</v>
      </c>
      <c r="C7">
        <v>2140000</v>
      </c>
    </row>
    <row r="8" spans="1:20" x14ac:dyDescent="0.35">
      <c r="A8" s="4" t="s">
        <v>6</v>
      </c>
      <c r="B8" s="5"/>
      <c r="C8" s="6">
        <f>AVERAGE(Q29:Q29)</f>
        <v>-17.53693068345633</v>
      </c>
    </row>
    <row r="9" spans="1:20" ht="15" thickBot="1" x14ac:dyDescent="0.4">
      <c r="A9" s="7" t="s">
        <v>7</v>
      </c>
      <c r="B9" s="8"/>
      <c r="C9" s="9">
        <f>AVERAGE(S28:S29)</f>
        <v>-17.349764914717248</v>
      </c>
    </row>
    <row r="11" spans="1:20" ht="15.5" x14ac:dyDescent="0.35">
      <c r="C11" s="70" t="s">
        <v>21</v>
      </c>
      <c r="D11" s="70" t="s">
        <v>22</v>
      </c>
      <c r="E11" s="70" t="s">
        <v>60</v>
      </c>
      <c r="F11" s="70" t="s">
        <v>71</v>
      </c>
      <c r="G11" s="70" t="s">
        <v>72</v>
      </c>
      <c r="H11" s="70" t="s">
        <v>73</v>
      </c>
      <c r="I11" s="70" t="s">
        <v>74</v>
      </c>
    </row>
    <row r="12" spans="1:20" ht="15.5" x14ac:dyDescent="0.35">
      <c r="A12" s="71" t="s">
        <v>75</v>
      </c>
      <c r="C12">
        <v>9.9670000000000005</v>
      </c>
      <c r="D12">
        <v>9.1999999999999998E-2</v>
      </c>
      <c r="E12">
        <f>(D12+C12)/C12</f>
        <v>1.0092304605197151</v>
      </c>
      <c r="F12">
        <v>0.38589600000000002</v>
      </c>
      <c r="G12">
        <f>F12/24.305</f>
        <v>1.5877226908043614E-2</v>
      </c>
      <c r="H12">
        <v>0.63079300000000005</v>
      </c>
      <c r="I12">
        <f>H12/28.0855</f>
        <v>2.2459739011233555E-2</v>
      </c>
    </row>
    <row r="13" spans="1:20" ht="15.5" x14ac:dyDescent="0.35">
      <c r="A13" s="71"/>
    </row>
    <row r="15" spans="1:20" x14ac:dyDescent="0.35">
      <c r="A15" s="56" t="s">
        <v>8</v>
      </c>
      <c r="B15" s="57"/>
      <c r="C15" s="57"/>
      <c r="D15" s="57"/>
      <c r="E15" s="58" t="s">
        <v>9</v>
      </c>
      <c r="F15" s="58"/>
      <c r="G15" s="58"/>
      <c r="H15" s="59"/>
      <c r="I15" s="59"/>
      <c r="J15" s="59"/>
      <c r="K15" s="60" t="s">
        <v>10</v>
      </c>
      <c r="L15" s="61" t="s">
        <v>11</v>
      </c>
      <c r="M15" s="62"/>
      <c r="N15" s="62"/>
      <c r="O15" s="62"/>
      <c r="P15" s="63" t="s">
        <v>12</v>
      </c>
      <c r="Q15" s="64"/>
      <c r="R15" s="64"/>
      <c r="S15" s="64"/>
      <c r="T15" s="64"/>
    </row>
    <row r="16" spans="1:20" x14ac:dyDescent="0.35">
      <c r="A16" s="65" t="s">
        <v>13</v>
      </c>
      <c r="B16" s="65" t="s">
        <v>14</v>
      </c>
      <c r="C16" s="65" t="s">
        <v>15</v>
      </c>
      <c r="D16" s="65" t="s">
        <v>16</v>
      </c>
      <c r="E16" s="66" t="s">
        <v>17</v>
      </c>
      <c r="F16" s="66" t="s">
        <v>18</v>
      </c>
      <c r="G16" s="66" t="s">
        <v>59</v>
      </c>
      <c r="H16" s="66" t="s">
        <v>20</v>
      </c>
      <c r="I16" s="66" t="s">
        <v>21</v>
      </c>
      <c r="J16" s="66" t="s">
        <v>22</v>
      </c>
      <c r="K16" s="67" t="s">
        <v>60</v>
      </c>
      <c r="L16" s="28" t="s">
        <v>28</v>
      </c>
      <c r="M16" s="28" t="s">
        <v>29</v>
      </c>
      <c r="N16" s="28" t="s">
        <v>30</v>
      </c>
      <c r="O16" s="28" t="s">
        <v>31</v>
      </c>
      <c r="P16" s="68" t="s">
        <v>32</v>
      </c>
      <c r="Q16" s="68" t="s">
        <v>33</v>
      </c>
      <c r="R16" s="68" t="s">
        <v>34</v>
      </c>
      <c r="S16" s="68" t="s">
        <v>35</v>
      </c>
      <c r="T16" s="64" t="s">
        <v>36</v>
      </c>
    </row>
    <row r="17" spans="1:20" x14ac:dyDescent="0.35">
      <c r="A17" s="31">
        <v>1</v>
      </c>
      <c r="B17" s="38">
        <v>43866</v>
      </c>
      <c r="C17" s="33">
        <v>0.375</v>
      </c>
      <c r="D17" s="34">
        <f>0.5</f>
        <v>0.5</v>
      </c>
      <c r="E17" s="31">
        <v>4.923</v>
      </c>
      <c r="F17" s="31">
        <v>17.38</v>
      </c>
      <c r="G17" s="35">
        <f>F17-E17</f>
        <v>12.456999999999999</v>
      </c>
      <c r="H17" s="31">
        <v>7.73</v>
      </c>
      <c r="I17" s="31">
        <v>6.0090000000000003</v>
      </c>
      <c r="J17" s="31">
        <v>0.05</v>
      </c>
      <c r="K17" s="31">
        <f>(J17+I17)/I17</f>
        <v>1.0083208520552505</v>
      </c>
      <c r="L17" s="31">
        <v>0.70149300000000003</v>
      </c>
      <c r="M17" s="31">
        <f>L17/24.305</f>
        <v>2.8862085990536929E-2</v>
      </c>
      <c r="N17" s="31">
        <v>1.97122</v>
      </c>
      <c r="O17" s="31">
        <f>N17/28.0855</f>
        <v>7.018639511491695E-2</v>
      </c>
      <c r="P17" s="31">
        <f>((M17-$G$12)*10^(-6)*$C$6)/($C$5*$C$7*4)</f>
        <v>3.5000772433540744E-19</v>
      </c>
      <c r="Q17" s="31">
        <f>LOG(P17)</f>
        <v>-18.455922371080504</v>
      </c>
      <c r="R17" s="31">
        <f>((O17-$I$12)*10^(-6)*$C$6)/($C$5*$C$7*6)</f>
        <v>8.5765008752954568E-19</v>
      </c>
      <c r="S17" s="31">
        <f>LOG(R17)</f>
        <v>-18.066689863725824</v>
      </c>
      <c r="T17" s="31">
        <f>O17/M17</f>
        <v>2.4317852541195082</v>
      </c>
    </row>
    <row r="18" spans="1:20" x14ac:dyDescent="0.35">
      <c r="A18" s="35">
        <v>2</v>
      </c>
      <c r="B18" s="32">
        <v>43866</v>
      </c>
      <c r="C18" s="33">
        <v>0.69097222222222221</v>
      </c>
      <c r="D18" s="34">
        <f>D17+6.5+6/70</f>
        <v>7.0857142857142854</v>
      </c>
      <c r="E18" s="31">
        <v>4.9089999999999998</v>
      </c>
      <c r="F18" s="35">
        <v>11.829000000000001</v>
      </c>
      <c r="G18" s="35">
        <f>F18-E18</f>
        <v>6.9200000000000008</v>
      </c>
      <c r="H18" s="35">
        <v>7.78</v>
      </c>
      <c r="I18" s="35">
        <v>2.82</v>
      </c>
      <c r="J18" s="31">
        <v>0.11700000000000001</v>
      </c>
      <c r="K18" s="31">
        <f t="shared" ref="K18:K29" si="0">(J18+I18)/I18</f>
        <v>1.0414893617021277</v>
      </c>
      <c r="L18" s="35">
        <v>1.64117</v>
      </c>
      <c r="M18" s="31">
        <f t="shared" ref="M18:M29" si="1">L18/24.305</f>
        <v>6.7523966262085997E-2</v>
      </c>
      <c r="N18" s="35">
        <v>4.4429400000000001</v>
      </c>
      <c r="O18" s="31">
        <f t="shared" ref="O18:O29" si="2">N18/28.0855</f>
        <v>0.15819337380498835</v>
      </c>
      <c r="P18" s="31">
        <f t="shared" ref="P18:P29" si="3">((M18-$G$12)*10^(-6)*$C$6)/($C$5*$C$7*4)</f>
        <v>1.3921412312455576E-18</v>
      </c>
      <c r="Q18" s="31">
        <f t="shared" ref="Q18:Q29" si="4">LOG(P18)</f>
        <v>-17.856316703777697</v>
      </c>
      <c r="R18" s="31">
        <f t="shared" ref="R18:R29" si="5">((O18-$I$12)*10^(-6)*$C$6)/($C$5*$C$7*6)</f>
        <v>2.4391393251743625E-18</v>
      </c>
      <c r="S18" s="31">
        <f t="shared" ref="S18:S29" si="6">LOG(R18)</f>
        <v>-17.612763391803426</v>
      </c>
      <c r="T18" s="31">
        <f t="shared" ref="T18:T29" si="7">O18/M18</f>
        <v>2.3427737226065806</v>
      </c>
    </row>
    <row r="19" spans="1:20" x14ac:dyDescent="0.35">
      <c r="A19" s="31">
        <v>3</v>
      </c>
      <c r="B19" s="38">
        <v>43867</v>
      </c>
      <c r="C19" s="33">
        <v>0.37847222222222227</v>
      </c>
      <c r="D19" s="34">
        <f>D17+24+5/60</f>
        <v>24.583333333333332</v>
      </c>
      <c r="E19" s="31">
        <v>4.9169999999999998</v>
      </c>
      <c r="F19" s="35">
        <v>12.65</v>
      </c>
      <c r="G19" s="35">
        <f t="shared" ref="G19:G29" si="8">F19-E19</f>
        <v>7.7330000000000005</v>
      </c>
      <c r="H19" s="35">
        <v>7.79</v>
      </c>
      <c r="I19" s="35">
        <v>3.5230000000000001</v>
      </c>
      <c r="J19" s="35">
        <v>7.9000000000000001E-2</v>
      </c>
      <c r="K19" s="31">
        <f t="shared" si="0"/>
        <v>1.0224240703945502</v>
      </c>
      <c r="L19" s="35">
        <v>2.55877</v>
      </c>
      <c r="M19" s="31">
        <f t="shared" si="1"/>
        <v>0.10527751491462663</v>
      </c>
      <c r="N19" s="35">
        <v>6.5013500000000004</v>
      </c>
      <c r="O19" s="31">
        <f t="shared" si="2"/>
        <v>0.23148421783482581</v>
      </c>
      <c r="P19" s="31">
        <f t="shared" si="3"/>
        <v>2.4097906000613887E-18</v>
      </c>
      <c r="Q19" s="31">
        <f t="shared" si="4"/>
        <v>-17.618020694018046</v>
      </c>
      <c r="R19" s="31">
        <f t="shared" si="5"/>
        <v>3.7561789824415559E-18</v>
      </c>
      <c r="S19" s="31">
        <f t="shared" si="6"/>
        <v>-17.425253721721489</v>
      </c>
      <c r="T19" s="31">
        <f t="shared" si="7"/>
        <v>2.1988001713618033</v>
      </c>
    </row>
    <row r="20" spans="1:20" x14ac:dyDescent="0.35">
      <c r="A20" s="35">
        <v>4</v>
      </c>
      <c r="B20" s="32">
        <v>43867</v>
      </c>
      <c r="C20" s="33">
        <v>0.625</v>
      </c>
      <c r="D20" s="34">
        <f>D19+6-5/60</f>
        <v>30.5</v>
      </c>
      <c r="E20" s="35">
        <v>4.9390000000000001</v>
      </c>
      <c r="F20" s="35">
        <v>12.209</v>
      </c>
      <c r="G20" s="35">
        <f t="shared" si="8"/>
        <v>7.27</v>
      </c>
      <c r="H20" s="35">
        <v>7.88</v>
      </c>
      <c r="I20" s="35">
        <v>2.2839999999999998</v>
      </c>
      <c r="J20" s="35">
        <v>8.7999999999999995E-2</v>
      </c>
      <c r="K20" s="31">
        <f t="shared" si="0"/>
        <v>1.0385288966725044</v>
      </c>
      <c r="L20" s="35">
        <v>2.7414200000000002</v>
      </c>
      <c r="M20" s="31">
        <f t="shared" si="1"/>
        <v>0.11279242954124667</v>
      </c>
      <c r="N20" s="35">
        <v>6.9287900000000002</v>
      </c>
      <c r="O20" s="31">
        <f t="shared" si="2"/>
        <v>0.24670345908030836</v>
      </c>
      <c r="P20" s="31">
        <f t="shared" si="3"/>
        <v>2.61235561446223E-18</v>
      </c>
      <c r="Q20" s="31">
        <f t="shared" si="4"/>
        <v>-17.582967703780476</v>
      </c>
      <c r="R20" s="31">
        <f t="shared" si="5"/>
        <v>4.0296694100542711E-18</v>
      </c>
      <c r="S20" s="31">
        <f t="shared" si="6"/>
        <v>-17.394730581471386</v>
      </c>
      <c r="T20" s="31">
        <f t="shared" si="7"/>
        <v>2.1872341972214744</v>
      </c>
    </row>
    <row r="21" spans="1:20" x14ac:dyDescent="0.35">
      <c r="A21" s="31">
        <v>5</v>
      </c>
      <c r="B21" s="38">
        <v>43868</v>
      </c>
      <c r="C21" s="33">
        <v>0.48958333333333331</v>
      </c>
      <c r="D21" s="34">
        <f>D19+24+2+40/60</f>
        <v>51.249999999999993</v>
      </c>
      <c r="E21" s="35">
        <v>4.9290000000000003</v>
      </c>
      <c r="F21" s="35">
        <v>12.089</v>
      </c>
      <c r="G21" s="35">
        <f t="shared" si="8"/>
        <v>7.16</v>
      </c>
      <c r="H21" s="35">
        <v>7.83</v>
      </c>
      <c r="I21" s="35">
        <v>3.0750000000000002</v>
      </c>
      <c r="J21" s="35">
        <v>5.3999999999999999E-2</v>
      </c>
      <c r="K21" s="31">
        <f t="shared" si="0"/>
        <v>1.0175609756097561</v>
      </c>
      <c r="L21" s="35">
        <v>3.1938499999999999</v>
      </c>
      <c r="M21" s="31">
        <f t="shared" si="1"/>
        <v>0.13140711787698003</v>
      </c>
      <c r="N21" s="35">
        <v>7.8614899999999999</v>
      </c>
      <c r="O21" s="31">
        <f t="shared" si="2"/>
        <v>0.27991276637410761</v>
      </c>
      <c r="P21" s="31">
        <f t="shared" si="3"/>
        <v>3.1141157538839238E-18</v>
      </c>
      <c r="Q21" s="31">
        <f t="shared" si="4"/>
        <v>-17.506665248434974</v>
      </c>
      <c r="R21" s="31">
        <f t="shared" si="5"/>
        <v>4.6264421075893144E-18</v>
      </c>
      <c r="S21" s="31">
        <f t="shared" si="6"/>
        <v>-17.334752867952762</v>
      </c>
      <c r="T21" s="31">
        <f t="shared" si="7"/>
        <v>2.1301187553337466</v>
      </c>
    </row>
    <row r="22" spans="1:20" x14ac:dyDescent="0.35">
      <c r="A22" s="35">
        <v>6</v>
      </c>
      <c r="B22" s="32">
        <v>43869</v>
      </c>
      <c r="C22" s="33">
        <v>0.62847222222222221</v>
      </c>
      <c r="D22" s="34">
        <f>D20+2*24+5/60</f>
        <v>78.583333333333329</v>
      </c>
      <c r="E22" s="35">
        <v>4.9400000000000004</v>
      </c>
      <c r="F22" s="35">
        <v>12.278</v>
      </c>
      <c r="G22" s="35">
        <f t="shared" si="8"/>
        <v>7.3380000000000001</v>
      </c>
      <c r="H22" s="35">
        <v>7.33</v>
      </c>
      <c r="I22" s="35">
        <v>3.4689999999999999</v>
      </c>
      <c r="J22" s="35">
        <v>7.0000000000000007E-2</v>
      </c>
      <c r="K22" s="31">
        <f t="shared" si="0"/>
        <v>1.0201787258575958</v>
      </c>
      <c r="L22" s="35">
        <v>3.2046999999999999</v>
      </c>
      <c r="M22" s="31">
        <f t="shared" si="1"/>
        <v>0.13185352808064185</v>
      </c>
      <c r="N22" s="35">
        <v>7.8900699999999997</v>
      </c>
      <c r="O22" s="31">
        <f t="shared" si="2"/>
        <v>0.28093037332431325</v>
      </c>
      <c r="P22" s="31">
        <f t="shared" si="3"/>
        <v>3.1261487700692462E-18</v>
      </c>
      <c r="Q22" s="31">
        <f t="shared" si="4"/>
        <v>-17.504990358216141</v>
      </c>
      <c r="R22" s="31">
        <f t="shared" si="5"/>
        <v>4.6447285487767839E-18</v>
      </c>
      <c r="S22" s="31">
        <f t="shared" si="6"/>
        <v>-17.333039662340564</v>
      </c>
      <c r="T22" s="31">
        <f t="shared" si="7"/>
        <v>2.1306246212273949</v>
      </c>
    </row>
    <row r="23" spans="1:20" x14ac:dyDescent="0.35">
      <c r="A23" s="31">
        <v>7</v>
      </c>
      <c r="B23" s="32">
        <v>43870</v>
      </c>
      <c r="C23" s="36">
        <v>0.51388888888888895</v>
      </c>
      <c r="D23" s="37">
        <f>D21+2*24+35/60</f>
        <v>99.833333333333329</v>
      </c>
      <c r="E23" s="35">
        <v>4.9130000000000003</v>
      </c>
      <c r="F23" s="35">
        <v>14.151999999999999</v>
      </c>
      <c r="G23" s="35">
        <f t="shared" si="8"/>
        <v>9.238999999999999</v>
      </c>
      <c r="H23" s="35">
        <v>7.31</v>
      </c>
      <c r="I23" s="35">
        <v>4.0540000000000003</v>
      </c>
      <c r="J23" s="35">
        <v>8.6999999999999994E-2</v>
      </c>
      <c r="K23" s="31">
        <f t="shared" si="0"/>
        <v>1.0214602861371485</v>
      </c>
      <c r="L23" s="35">
        <v>3.3952100000000001</v>
      </c>
      <c r="M23" s="31">
        <f t="shared" si="1"/>
        <v>0.13969183295618187</v>
      </c>
      <c r="N23" s="35">
        <v>7.9875699999999998</v>
      </c>
      <c r="O23" s="31">
        <f t="shared" si="2"/>
        <v>0.28440191557921346</v>
      </c>
      <c r="P23" s="31">
        <f t="shared" si="3"/>
        <v>3.33743078974351E-18</v>
      </c>
      <c r="Q23" s="31">
        <f t="shared" si="4"/>
        <v>-17.476587731752954</v>
      </c>
      <c r="R23" s="31">
        <f t="shared" si="5"/>
        <v>4.7071123141993909E-18</v>
      </c>
      <c r="S23" s="31">
        <f t="shared" si="6"/>
        <v>-17.327245439072815</v>
      </c>
      <c r="T23" s="31">
        <f t="shared" si="7"/>
        <v>2.0359237155147345</v>
      </c>
    </row>
    <row r="24" spans="1:20" x14ac:dyDescent="0.35">
      <c r="A24" s="35">
        <v>8</v>
      </c>
      <c r="B24" s="32">
        <v>43871</v>
      </c>
      <c r="C24" s="33">
        <v>0.61805555555555558</v>
      </c>
      <c r="D24" s="37">
        <f>D22+2*24-15/60</f>
        <v>126.33333333333333</v>
      </c>
      <c r="E24" s="35">
        <v>4.9569999999999999</v>
      </c>
      <c r="F24" s="35">
        <v>13.169</v>
      </c>
      <c r="G24" s="35">
        <f t="shared" si="8"/>
        <v>8.2119999999999997</v>
      </c>
      <c r="H24" s="35">
        <v>7.77</v>
      </c>
      <c r="I24" s="35">
        <v>3.69</v>
      </c>
      <c r="J24" s="35">
        <v>7.1999999999999995E-2</v>
      </c>
      <c r="K24" s="31">
        <f t="shared" si="0"/>
        <v>1.0195121951219512</v>
      </c>
      <c r="L24" s="35">
        <v>3.1743999999999999</v>
      </c>
      <c r="M24" s="31">
        <f t="shared" si="1"/>
        <v>0.1306068710141946</v>
      </c>
      <c r="N24" s="35">
        <v>7.8149199999999999</v>
      </c>
      <c r="O24" s="31">
        <f t="shared" si="2"/>
        <v>0.27825461537092094</v>
      </c>
      <c r="P24" s="31">
        <f t="shared" si="3"/>
        <v>3.0925450474503277E-18</v>
      </c>
      <c r="Q24" s="31">
        <f t="shared" si="4"/>
        <v>-17.509683965517237</v>
      </c>
      <c r="R24" s="31">
        <f t="shared" si="5"/>
        <v>4.5966450618895117E-18</v>
      </c>
      <c r="S24" s="31">
        <f t="shared" si="6"/>
        <v>-17.337559029774607</v>
      </c>
      <c r="T24" s="31">
        <f t="shared" si="7"/>
        <v>2.1304745547474275</v>
      </c>
    </row>
    <row r="25" spans="1:20" x14ac:dyDescent="0.35">
      <c r="A25" s="31">
        <v>9</v>
      </c>
      <c r="B25" s="32">
        <v>43872</v>
      </c>
      <c r="C25" s="36">
        <v>0.42708333333333331</v>
      </c>
      <c r="D25" s="37">
        <f>D23+2*24-2-5/60</f>
        <v>145.74999999999997</v>
      </c>
      <c r="E25" s="35">
        <v>4.9260000000000002</v>
      </c>
      <c r="F25" s="35">
        <v>14.179</v>
      </c>
      <c r="G25" s="35">
        <f t="shared" si="8"/>
        <v>9.2530000000000001</v>
      </c>
      <c r="H25" s="35">
        <v>7.76</v>
      </c>
      <c r="I25" s="35">
        <v>4.2789999999999999</v>
      </c>
      <c r="J25" s="35">
        <v>6.6000000000000003E-2</v>
      </c>
      <c r="K25" s="31">
        <f t="shared" si="0"/>
        <v>1.0154241645244215</v>
      </c>
      <c r="L25" s="35">
        <v>3.08962</v>
      </c>
      <c r="M25" s="31">
        <f t="shared" si="1"/>
        <v>0.12711869985599672</v>
      </c>
      <c r="N25" s="35">
        <v>7.7075699999999996</v>
      </c>
      <c r="O25" s="31">
        <f t="shared" si="2"/>
        <v>0.2744323583343718</v>
      </c>
      <c r="P25" s="31">
        <f t="shared" si="3"/>
        <v>2.9985211661423439E-18</v>
      </c>
      <c r="Q25" s="31">
        <f t="shared" si="4"/>
        <v>-17.523092881191257</v>
      </c>
      <c r="R25" s="31">
        <f t="shared" si="5"/>
        <v>4.5279589365754901E-18</v>
      </c>
      <c r="S25" s="31">
        <f t="shared" si="6"/>
        <v>-17.344097520357668</v>
      </c>
      <c r="T25" s="31">
        <f t="shared" si="7"/>
        <v>2.158866938107892</v>
      </c>
    </row>
    <row r="26" spans="1:20" x14ac:dyDescent="0.35">
      <c r="A26" s="35">
        <v>10</v>
      </c>
      <c r="B26" s="32">
        <v>43872</v>
      </c>
      <c r="C26" s="36">
        <v>0.65625</v>
      </c>
      <c r="D26" s="37">
        <f>D25+5.5</f>
        <v>151.24999999999997</v>
      </c>
      <c r="E26" s="35">
        <v>4.9210000000000003</v>
      </c>
      <c r="F26" s="35">
        <v>17.347000000000001</v>
      </c>
      <c r="G26" s="35">
        <f t="shared" si="8"/>
        <v>12.426000000000002</v>
      </c>
      <c r="H26" s="35">
        <v>7.56</v>
      </c>
      <c r="I26" s="35">
        <v>6.6</v>
      </c>
      <c r="J26" s="35">
        <v>5.6000000000000001E-2</v>
      </c>
      <c r="K26" s="31">
        <f t="shared" si="0"/>
        <v>1.0084848484848485</v>
      </c>
      <c r="L26" s="35">
        <v>2.2888700000000002</v>
      </c>
      <c r="M26" s="31">
        <f t="shared" si="1"/>
        <v>9.4172803949804582E-2</v>
      </c>
      <c r="N26" s="35">
        <v>5.4108700000000001</v>
      </c>
      <c r="O26" s="31">
        <f t="shared" si="2"/>
        <v>0.19265706503355826</v>
      </c>
      <c r="P26" s="31">
        <f t="shared" si="3"/>
        <v>2.11046239099056E-18</v>
      </c>
      <c r="Q26" s="31">
        <f t="shared" si="4"/>
        <v>-17.675622382685503</v>
      </c>
      <c r="R26" s="31">
        <f t="shared" si="5"/>
        <v>3.0584533566154427E-18</v>
      </c>
      <c r="S26" s="31">
        <f t="shared" si="6"/>
        <v>-17.514498138386383</v>
      </c>
      <c r="T26" s="31">
        <f t="shared" si="7"/>
        <v>2.0457824016395132</v>
      </c>
    </row>
    <row r="27" spans="1:20" x14ac:dyDescent="0.35">
      <c r="A27" s="31">
        <v>11</v>
      </c>
      <c r="B27" s="32">
        <v>43873</v>
      </c>
      <c r="C27" s="36">
        <v>0.35416666666666669</v>
      </c>
      <c r="D27" s="37">
        <f>7*24</f>
        <v>168</v>
      </c>
      <c r="E27" s="35">
        <v>4.9379999999999997</v>
      </c>
      <c r="F27" s="35">
        <v>13.074</v>
      </c>
      <c r="G27" s="35">
        <f t="shared" si="8"/>
        <v>8.1359999999999992</v>
      </c>
      <c r="H27" s="35">
        <v>7.68</v>
      </c>
      <c r="I27" s="35">
        <v>3.6779999999999999</v>
      </c>
      <c r="J27" s="35">
        <v>7.6999999999999999E-2</v>
      </c>
      <c r="K27" s="31">
        <f t="shared" si="0"/>
        <v>1.0209352909189777</v>
      </c>
      <c r="L27" s="35">
        <v>2.9573100000000001</v>
      </c>
      <c r="M27" s="31">
        <f t="shared" si="1"/>
        <v>0.12167496399917713</v>
      </c>
      <c r="N27" s="35">
        <v>7.4275900000000004</v>
      </c>
      <c r="O27" s="31">
        <f t="shared" si="2"/>
        <v>0.264463513200762</v>
      </c>
      <c r="P27" s="31">
        <f t="shared" si="3"/>
        <v>2.8517849107063995E-18</v>
      </c>
      <c r="Q27" s="31">
        <f t="shared" si="4"/>
        <v>-17.544883233243713</v>
      </c>
      <c r="R27" s="31">
        <f t="shared" si="5"/>
        <v>4.3488183556214204E-18</v>
      </c>
      <c r="S27" s="31">
        <f t="shared" si="6"/>
        <v>-17.361628731860709</v>
      </c>
      <c r="T27" s="31">
        <f t="shared" si="7"/>
        <v>2.1735244828389719</v>
      </c>
    </row>
    <row r="28" spans="1:20" x14ac:dyDescent="0.35">
      <c r="A28" s="31">
        <v>12</v>
      </c>
      <c r="B28" s="32">
        <v>43873</v>
      </c>
      <c r="C28" s="36">
        <v>0.60416666666666663</v>
      </c>
      <c r="D28" s="37">
        <f>D27+6</f>
        <v>174</v>
      </c>
      <c r="E28" s="35">
        <v>4.9340000000000002</v>
      </c>
      <c r="F28" s="35">
        <v>13.337</v>
      </c>
      <c r="G28" s="35">
        <f t="shared" si="8"/>
        <v>8.4029999999999987</v>
      </c>
      <c r="H28" s="35">
        <v>7.79</v>
      </c>
      <c r="I28" s="35">
        <v>4.0949999999999998</v>
      </c>
      <c r="J28" s="35">
        <v>6.5000000000000002E-2</v>
      </c>
      <c r="K28" s="31">
        <f t="shared" si="0"/>
        <v>1.015873015873016</v>
      </c>
      <c r="L28" s="35">
        <v>2.9874499999999999</v>
      </c>
      <c r="M28" s="31">
        <f t="shared" si="1"/>
        <v>0.12291503805801275</v>
      </c>
      <c r="N28" s="35">
        <v>7.6042699999999996</v>
      </c>
      <c r="O28" s="31">
        <f t="shared" si="2"/>
        <v>0.27075430382225701</v>
      </c>
      <c r="P28" s="31">
        <f t="shared" si="3"/>
        <v>2.8852111879253494E-18</v>
      </c>
      <c r="Q28" s="31">
        <f t="shared" si="4"/>
        <v>-17.539822392423737</v>
      </c>
      <c r="R28" s="31">
        <f t="shared" si="5"/>
        <v>4.4618641369021008E-18</v>
      </c>
      <c r="S28" s="31">
        <f>LOG(R28)</f>
        <v>-17.350483658053086</v>
      </c>
      <c r="T28" s="31">
        <f t="shared" si="7"/>
        <v>2.2027760646705241</v>
      </c>
    </row>
    <row r="29" spans="1:20" x14ac:dyDescent="0.35">
      <c r="A29" s="31">
        <v>13</v>
      </c>
      <c r="B29" s="32">
        <v>43874</v>
      </c>
      <c r="C29" s="36">
        <v>0.44791666666666669</v>
      </c>
      <c r="D29" s="37">
        <f>D25+2*24+0.5</f>
        <v>194.24999999999997</v>
      </c>
      <c r="E29" s="35">
        <v>5.2590000000000003</v>
      </c>
      <c r="F29" s="35"/>
      <c r="G29" s="35">
        <f t="shared" si="8"/>
        <v>-5.2590000000000003</v>
      </c>
      <c r="H29" s="35">
        <v>7.77</v>
      </c>
      <c r="I29" s="35">
        <v>4.3680000000000003</v>
      </c>
      <c r="J29" s="35">
        <v>7.0999999999999994E-2</v>
      </c>
      <c r="K29" s="31">
        <f t="shared" si="0"/>
        <v>1.0162545787545787</v>
      </c>
      <c r="L29" s="35">
        <v>3.0048300000000001</v>
      </c>
      <c r="M29" s="31">
        <f t="shared" si="1"/>
        <v>0.12363011725982309</v>
      </c>
      <c r="N29" s="35">
        <v>7.6273900000000001</v>
      </c>
      <c r="O29" s="31">
        <f t="shared" si="2"/>
        <v>0.27157750440618827</v>
      </c>
      <c r="P29" s="31">
        <f t="shared" si="3"/>
        <v>2.9044861944968618E-18</v>
      </c>
      <c r="Q29" s="31">
        <f t="shared" si="4"/>
        <v>-17.53693068345633</v>
      </c>
      <c r="R29" s="31">
        <f t="shared" si="5"/>
        <v>4.4766570872259045E-18</v>
      </c>
      <c r="S29" s="31">
        <f t="shared" si="6"/>
        <v>-17.349046171381413</v>
      </c>
      <c r="T29" s="31">
        <f t="shared" si="7"/>
        <v>2.1966937379460418</v>
      </c>
    </row>
    <row r="35" spans="1:20" ht="18.5" x14ac:dyDescent="0.45">
      <c r="A35" s="1" t="s">
        <v>79</v>
      </c>
    </row>
    <row r="36" spans="1:20" x14ac:dyDescent="0.35">
      <c r="A36" s="2" t="s">
        <v>0</v>
      </c>
      <c r="C36" s="3"/>
    </row>
    <row r="37" spans="1:20" x14ac:dyDescent="0.35">
      <c r="A37" s="2" t="s">
        <v>1</v>
      </c>
    </row>
    <row r="38" spans="1:20" x14ac:dyDescent="0.35">
      <c r="A38" s="2" t="s">
        <v>2</v>
      </c>
    </row>
    <row r="39" spans="1:20" x14ac:dyDescent="0.35">
      <c r="A39" s="2" t="s">
        <v>3</v>
      </c>
      <c r="C39">
        <f>9.08+0.782-9.118</f>
        <v>0.74399999999999977</v>
      </c>
    </row>
    <row r="40" spans="1:20" x14ac:dyDescent="0.35">
      <c r="A40" s="2" t="s">
        <v>4</v>
      </c>
      <c r="C40">
        <f>AVERAGE(G58:G59)/(2.5*60*60)</f>
        <v>1.6649999999999998E-4</v>
      </c>
    </row>
    <row r="41" spans="1:20" ht="15" thickBot="1" x14ac:dyDescent="0.4">
      <c r="A41" s="2" t="s">
        <v>5</v>
      </c>
      <c r="C41">
        <v>2140000</v>
      </c>
    </row>
    <row r="42" spans="1:20" x14ac:dyDescent="0.35">
      <c r="A42" s="4" t="s">
        <v>6</v>
      </c>
      <c r="B42" s="5"/>
      <c r="C42" s="6">
        <f>AVERAGE(Q59:Q59)</f>
        <v>-17.508231741545298</v>
      </c>
    </row>
    <row r="43" spans="1:20" ht="15" thickBot="1" x14ac:dyDescent="0.4">
      <c r="A43" s="7" t="s">
        <v>7</v>
      </c>
      <c r="B43" s="8"/>
      <c r="C43" s="9">
        <f>AVERAGE(S59:S59)</f>
        <v>-17.320913283649496</v>
      </c>
    </row>
    <row r="45" spans="1:20" x14ac:dyDescent="0.35">
      <c r="A45" s="56" t="s">
        <v>8</v>
      </c>
      <c r="B45" s="57"/>
      <c r="C45" s="57"/>
      <c r="D45" s="57"/>
      <c r="E45" s="58" t="s">
        <v>9</v>
      </c>
      <c r="F45" s="58"/>
      <c r="G45" s="58"/>
      <c r="H45" s="59"/>
      <c r="I45" s="59"/>
      <c r="J45" s="59"/>
      <c r="K45" s="60" t="s">
        <v>10</v>
      </c>
      <c r="L45" s="61" t="s">
        <v>11</v>
      </c>
      <c r="M45" s="62"/>
      <c r="N45" s="62"/>
      <c r="O45" s="62"/>
      <c r="P45" s="63" t="s">
        <v>12</v>
      </c>
      <c r="Q45" s="64"/>
      <c r="R45" s="64"/>
      <c r="S45" s="64"/>
      <c r="T45" s="64"/>
    </row>
    <row r="46" spans="1:20" x14ac:dyDescent="0.35">
      <c r="A46" s="65" t="s">
        <v>13</v>
      </c>
      <c r="B46" s="65" t="s">
        <v>14</v>
      </c>
      <c r="C46" s="65" t="s">
        <v>15</v>
      </c>
      <c r="D46" s="65" t="s">
        <v>16</v>
      </c>
      <c r="E46" s="66" t="s">
        <v>17</v>
      </c>
      <c r="F46" s="66" t="s">
        <v>18</v>
      </c>
      <c r="G46" s="66" t="s">
        <v>59</v>
      </c>
      <c r="H46" s="66" t="s">
        <v>20</v>
      </c>
      <c r="I46" s="66" t="s">
        <v>21</v>
      </c>
      <c r="J46" s="66" t="s">
        <v>22</v>
      </c>
      <c r="K46" s="67" t="s">
        <v>60</v>
      </c>
      <c r="L46" s="28" t="s">
        <v>28</v>
      </c>
      <c r="M46" s="28" t="s">
        <v>29</v>
      </c>
      <c r="N46" s="28" t="s">
        <v>30</v>
      </c>
      <c r="O46" s="28" t="s">
        <v>31</v>
      </c>
      <c r="P46" s="68" t="s">
        <v>32</v>
      </c>
      <c r="Q46" s="68" t="s">
        <v>33</v>
      </c>
      <c r="R46" s="68" t="s">
        <v>34</v>
      </c>
      <c r="S46" s="68" t="s">
        <v>35</v>
      </c>
      <c r="T46" s="64" t="s">
        <v>36</v>
      </c>
    </row>
    <row r="47" spans="1:20" x14ac:dyDescent="0.35">
      <c r="A47" s="31">
        <v>1</v>
      </c>
      <c r="B47" s="38">
        <v>43866</v>
      </c>
      <c r="C47" s="33">
        <v>0.375</v>
      </c>
      <c r="D47" s="34">
        <f>0.5</f>
        <v>0.5</v>
      </c>
      <c r="E47" s="31">
        <v>4.92</v>
      </c>
      <c r="F47" s="31">
        <v>15.659000000000001</v>
      </c>
      <c r="G47" s="35">
        <f>F47-E47</f>
        <v>10.739000000000001</v>
      </c>
      <c r="H47" s="31">
        <v>7.68</v>
      </c>
      <c r="I47" s="31">
        <v>4.7320000000000002</v>
      </c>
      <c r="J47" s="31">
        <v>4.3999999999999997E-2</v>
      </c>
      <c r="K47" s="31">
        <f>(J47+I47)/I47</f>
        <v>1.0092983939137785</v>
      </c>
      <c r="L47" s="31">
        <v>0.72004699999999999</v>
      </c>
      <c r="M47" s="31">
        <f>L47/24.305</f>
        <v>2.9625468010697386E-2</v>
      </c>
      <c r="N47" s="31">
        <v>2.09945</v>
      </c>
      <c r="O47" s="31">
        <f>N47/28.0855</f>
        <v>7.4752096277438534E-2</v>
      </c>
      <c r="P47" s="31">
        <f>((M47-$G$12)*10^(-6)*$C$6)/($C$5*$C$7*4)</f>
        <v>3.7058473652918345E-19</v>
      </c>
      <c r="Q47" s="31">
        <f>LOG(P47)</f>
        <v>-18.431112472166774</v>
      </c>
      <c r="R47" s="31">
        <f>((O47-$I$12)*10^(-6)*$C$6)/($C$5*$C$7*6)</f>
        <v>9.3969593614637695E-19</v>
      </c>
      <c r="S47" s="31">
        <f t="shared" ref="S47:S59" si="9">LOG(R47)</f>
        <v>-18.027012651311107</v>
      </c>
      <c r="T47" s="31">
        <f t="shared" ref="T47:T59" si="10">O47/M47</f>
        <v>2.5232376497966711</v>
      </c>
    </row>
    <row r="48" spans="1:20" x14ac:dyDescent="0.35">
      <c r="A48" s="35">
        <v>2</v>
      </c>
      <c r="B48" s="32">
        <v>43866</v>
      </c>
      <c r="C48" s="33">
        <v>0.69097222222222221</v>
      </c>
      <c r="D48" s="34">
        <f>D47+6.5+6/70</f>
        <v>7.0857142857142854</v>
      </c>
      <c r="E48" s="31">
        <v>4.931</v>
      </c>
      <c r="F48" s="35"/>
      <c r="G48" s="35">
        <f>F48-E48</f>
        <v>-4.931</v>
      </c>
      <c r="H48" s="35"/>
      <c r="I48" s="35"/>
      <c r="J48" s="31"/>
      <c r="K48" s="31" t="e">
        <f>(J48+I48)/I48</f>
        <v>#DIV/0!</v>
      </c>
      <c r="L48" s="35"/>
      <c r="M48" s="31">
        <f>L48/24.305</f>
        <v>0</v>
      </c>
      <c r="N48" s="35"/>
      <c r="O48" s="31">
        <f t="shared" ref="O48:O59" si="11">N48/28.0855</f>
        <v>0</v>
      </c>
      <c r="P48" s="31">
        <f t="shared" ref="P48:P59" si="12">((M48-$G$12)*10^(-6)*$C$6)/($C$5*$C$7*4)</f>
        <v>-4.2797168791254792E-19</v>
      </c>
      <c r="Q48" s="31" t="e">
        <f>LOG(P48)</f>
        <v>#NUM!</v>
      </c>
      <c r="R48" s="31">
        <f t="shared" ref="R48:R59" si="13">((O48-$I$12)*10^(-6)*$C$6)/($C$5*$C$7*6)</f>
        <v>-4.0360248761254782E-19</v>
      </c>
      <c r="S48" s="31" t="e">
        <f t="shared" si="9"/>
        <v>#NUM!</v>
      </c>
      <c r="T48" s="31" t="e">
        <f t="shared" si="10"/>
        <v>#DIV/0!</v>
      </c>
    </row>
    <row r="49" spans="1:20" x14ac:dyDescent="0.35">
      <c r="A49" s="31">
        <v>3</v>
      </c>
      <c r="B49" s="38">
        <v>43867</v>
      </c>
      <c r="C49" s="33">
        <v>0.37847222222222227</v>
      </c>
      <c r="D49" s="34">
        <f>D47+24+5/60</f>
        <v>24.583333333333332</v>
      </c>
      <c r="E49" s="31">
        <v>4.9370000000000003</v>
      </c>
      <c r="F49" s="35"/>
      <c r="G49" s="35">
        <f t="shared" ref="G49:G59" si="14">F49-E49</f>
        <v>-4.9370000000000003</v>
      </c>
      <c r="H49" s="35"/>
      <c r="I49" s="35"/>
      <c r="J49" s="35"/>
      <c r="K49" s="31" t="e">
        <f t="shared" ref="K49:K59" si="15">(J49+I49)/I49</f>
        <v>#DIV/0!</v>
      </c>
      <c r="L49" s="35"/>
      <c r="M49" s="31">
        <f t="shared" ref="M49:M59" si="16">L49/24.305</f>
        <v>0</v>
      </c>
      <c r="N49" s="35"/>
      <c r="O49" s="31">
        <f t="shared" si="11"/>
        <v>0</v>
      </c>
      <c r="P49" s="31">
        <f t="shared" si="12"/>
        <v>-4.2797168791254792E-19</v>
      </c>
      <c r="Q49" s="31" t="e">
        <f t="shared" ref="Q49:Q59" si="17">LOG(P49)</f>
        <v>#NUM!</v>
      </c>
      <c r="R49" s="31">
        <f t="shared" si="13"/>
        <v>-4.0360248761254782E-19</v>
      </c>
      <c r="S49" s="31" t="e">
        <f t="shared" si="9"/>
        <v>#NUM!</v>
      </c>
      <c r="T49" s="31" t="e">
        <f t="shared" si="10"/>
        <v>#DIV/0!</v>
      </c>
    </row>
    <row r="50" spans="1:20" x14ac:dyDescent="0.35">
      <c r="A50" s="35">
        <v>4</v>
      </c>
      <c r="B50" s="32">
        <v>43867</v>
      </c>
      <c r="C50" s="33">
        <v>0.625</v>
      </c>
      <c r="D50" s="34">
        <f>D49+6-5/60</f>
        <v>30.5</v>
      </c>
      <c r="E50" s="35">
        <v>4.9210000000000003</v>
      </c>
      <c r="F50" s="35">
        <v>12.39</v>
      </c>
      <c r="G50" s="35">
        <f t="shared" si="14"/>
        <v>7.4690000000000003</v>
      </c>
      <c r="H50" s="35">
        <v>7.76</v>
      </c>
      <c r="I50" s="35">
        <v>3.1419999999999999</v>
      </c>
      <c r="J50" s="35">
        <v>5.3999999999999999E-2</v>
      </c>
      <c r="K50" s="31">
        <f t="shared" si="15"/>
        <v>1.0171865054105664</v>
      </c>
      <c r="L50" s="35">
        <v>3.1312700000000002</v>
      </c>
      <c r="M50" s="31">
        <f t="shared" si="16"/>
        <v>0.128832339024892</v>
      </c>
      <c r="N50" s="35">
        <v>7.5197599999999998</v>
      </c>
      <c r="O50" s="31">
        <f t="shared" si="11"/>
        <v>0.26774527781239427</v>
      </c>
      <c r="P50" s="31">
        <f t="shared" si="12"/>
        <v>3.0447124218214843E-18</v>
      </c>
      <c r="Q50" s="31">
        <f t="shared" si="17"/>
        <v>-17.516453720933917</v>
      </c>
      <c r="R50" s="31">
        <f t="shared" si="13"/>
        <v>4.4077918085342591E-18</v>
      </c>
      <c r="S50" s="31">
        <f t="shared" si="9"/>
        <v>-17.355778926529233</v>
      </c>
      <c r="T50" s="31">
        <f t="shared" si="10"/>
        <v>2.078245880179685</v>
      </c>
    </row>
    <row r="51" spans="1:20" x14ac:dyDescent="0.35">
      <c r="A51" s="31">
        <v>5</v>
      </c>
      <c r="B51" s="38">
        <v>43868</v>
      </c>
      <c r="C51" s="33">
        <v>0.48958333333333331</v>
      </c>
      <c r="D51" s="34">
        <f>D49+24+2+40/60</f>
        <v>51.249999999999993</v>
      </c>
      <c r="E51" s="35">
        <v>4.9379999999999997</v>
      </c>
      <c r="F51" s="35">
        <v>17.311</v>
      </c>
      <c r="G51" s="35">
        <f t="shared" si="14"/>
        <v>12.373000000000001</v>
      </c>
      <c r="H51" s="35">
        <v>7.13</v>
      </c>
      <c r="I51" s="35">
        <v>6.3360000000000003</v>
      </c>
      <c r="J51" s="35">
        <v>7.1999999999999995E-2</v>
      </c>
      <c r="K51" s="31">
        <f t="shared" si="15"/>
        <v>1.0113636363636365</v>
      </c>
      <c r="L51" s="35">
        <v>3.89784</v>
      </c>
      <c r="M51" s="31">
        <f t="shared" si="16"/>
        <v>0.16037193993005555</v>
      </c>
      <c r="N51" s="35">
        <v>9.1404700000000005</v>
      </c>
      <c r="O51" s="31">
        <f t="shared" si="11"/>
        <v>0.32545156753484894</v>
      </c>
      <c r="P51" s="31">
        <f t="shared" si="12"/>
        <v>3.8948644234051286E-18</v>
      </c>
      <c r="Q51" s="31">
        <f t="shared" si="17"/>
        <v>-17.409507655113831</v>
      </c>
      <c r="R51" s="31">
        <f t="shared" si="13"/>
        <v>5.444776346565804E-18</v>
      </c>
      <c r="S51" s="31">
        <f t="shared" si="9"/>
        <v>-17.264019954925143</v>
      </c>
      <c r="T51" s="31">
        <f t="shared" si="10"/>
        <v>2.0293548090569402</v>
      </c>
    </row>
    <row r="52" spans="1:20" x14ac:dyDescent="0.35">
      <c r="A52" s="35">
        <v>6</v>
      </c>
      <c r="B52" s="32">
        <v>43869</v>
      </c>
      <c r="C52" s="33">
        <v>0.62847222222222221</v>
      </c>
      <c r="D52" s="34">
        <f>D50+2*24+5/60</f>
        <v>78.583333333333329</v>
      </c>
      <c r="E52" s="35">
        <v>4.9219999999999997</v>
      </c>
      <c r="F52" s="35">
        <v>13.153</v>
      </c>
      <c r="G52" s="35">
        <f t="shared" si="14"/>
        <v>8.2310000000000016</v>
      </c>
      <c r="H52" s="35">
        <v>7.89</v>
      </c>
      <c r="I52" s="35">
        <v>3.5449999999999999</v>
      </c>
      <c r="J52" s="35">
        <v>0.09</v>
      </c>
      <c r="K52" s="31">
        <f t="shared" si="15"/>
        <v>1.0253878702397743</v>
      </c>
      <c r="L52" s="35">
        <v>3.4420899999999999</v>
      </c>
      <c r="M52" s="31">
        <f t="shared" si="16"/>
        <v>0.1416206541863814</v>
      </c>
      <c r="N52" s="35">
        <v>8.4393799999999999</v>
      </c>
      <c r="O52" s="31">
        <f t="shared" si="11"/>
        <v>0.30048886436061312</v>
      </c>
      <c r="P52" s="31">
        <f t="shared" si="12"/>
        <v>3.3894222919341002E-18</v>
      </c>
      <c r="Q52" s="31">
        <f t="shared" si="17"/>
        <v>-17.469874318553796</v>
      </c>
      <c r="R52" s="31">
        <f t="shared" si="13"/>
        <v>4.9961954840003011E-18</v>
      </c>
      <c r="S52" s="31">
        <f t="shared" si="9"/>
        <v>-17.301360577511325</v>
      </c>
      <c r="T52" s="31">
        <f t="shared" si="10"/>
        <v>2.121787009719299</v>
      </c>
    </row>
    <row r="53" spans="1:20" x14ac:dyDescent="0.35">
      <c r="A53" s="31">
        <v>7</v>
      </c>
      <c r="B53" s="32">
        <v>43870</v>
      </c>
      <c r="C53" s="36">
        <v>0.51388888888888895</v>
      </c>
      <c r="D53" s="37">
        <f>D51+2*24+35/60</f>
        <v>99.833333333333329</v>
      </c>
      <c r="E53" s="35">
        <v>4.8949999999999996</v>
      </c>
      <c r="F53" s="35">
        <v>14.132</v>
      </c>
      <c r="G53" s="35">
        <f t="shared" si="14"/>
        <v>9.2370000000000001</v>
      </c>
      <c r="H53" s="35">
        <v>7.5</v>
      </c>
      <c r="I53" s="35">
        <v>4.149</v>
      </c>
      <c r="J53" s="35">
        <v>6.0999999999999999E-2</v>
      </c>
      <c r="K53" s="31">
        <f t="shared" si="15"/>
        <v>1.01470233791275</v>
      </c>
      <c r="L53" s="35">
        <v>3.4805100000000002</v>
      </c>
      <c r="M53" s="31">
        <f t="shared" si="16"/>
        <v>0.14320139888911748</v>
      </c>
      <c r="N53" s="35">
        <v>8.5834799999999998</v>
      </c>
      <c r="O53" s="31">
        <f t="shared" si="11"/>
        <v>0.30561962578554769</v>
      </c>
      <c r="P53" s="31">
        <f t="shared" si="12"/>
        <v>3.4320313686013895E-18</v>
      </c>
      <c r="Q53" s="31">
        <f t="shared" si="17"/>
        <v>-17.464448751374547</v>
      </c>
      <c r="R53" s="31">
        <f t="shared" si="13"/>
        <v>5.0883954901274586E-18</v>
      </c>
      <c r="S53" s="31">
        <f t="shared" si="9"/>
        <v>-17.293419140971096</v>
      </c>
      <c r="T53" s="31">
        <f t="shared" si="10"/>
        <v>2.1341944153924959</v>
      </c>
    </row>
    <row r="54" spans="1:20" x14ac:dyDescent="0.35">
      <c r="A54" s="35">
        <v>8</v>
      </c>
      <c r="B54" s="32">
        <v>43871</v>
      </c>
      <c r="C54" s="33">
        <v>0.61805555555555558</v>
      </c>
      <c r="D54" s="37">
        <f>D52+2*24-15/60</f>
        <v>126.33333333333333</v>
      </c>
      <c r="E54" s="35">
        <v>4.9349999999999996</v>
      </c>
      <c r="F54" s="35">
        <v>13.009</v>
      </c>
      <c r="G54" s="35">
        <f t="shared" si="14"/>
        <v>8.0740000000000016</v>
      </c>
      <c r="H54" s="35">
        <v>7.7</v>
      </c>
      <c r="I54" s="35">
        <v>3.2959999999999998</v>
      </c>
      <c r="J54" s="35">
        <v>6.2E-2</v>
      </c>
      <c r="K54" s="31">
        <f t="shared" si="15"/>
        <v>1.0188106796116505</v>
      </c>
      <c r="L54" s="35">
        <v>3.2944200000000001</v>
      </c>
      <c r="M54" s="31">
        <f t="shared" si="16"/>
        <v>0.13554494959884797</v>
      </c>
      <c r="N54" s="35">
        <v>8.2851900000000001</v>
      </c>
      <c r="O54" s="31">
        <f t="shared" si="11"/>
        <v>0.29499884281924837</v>
      </c>
      <c r="P54" s="31">
        <f t="shared" si="12"/>
        <v>3.2256512781012384E-18</v>
      </c>
      <c r="Q54" s="31">
        <f t="shared" si="17"/>
        <v>-17.491382585546717</v>
      </c>
      <c r="R54" s="31">
        <f t="shared" si="13"/>
        <v>4.8975395579437674E-18</v>
      </c>
      <c r="S54" s="31">
        <f t="shared" si="9"/>
        <v>-17.310022047476703</v>
      </c>
      <c r="T54" s="31">
        <f t="shared" si="10"/>
        <v>2.1763912539147503</v>
      </c>
    </row>
    <row r="55" spans="1:20" x14ac:dyDescent="0.35">
      <c r="A55" s="31">
        <v>9</v>
      </c>
      <c r="B55" s="32">
        <v>43872</v>
      </c>
      <c r="C55" s="36">
        <v>0.42708333333333331</v>
      </c>
      <c r="D55" s="37">
        <f>D53+2*24-2-5/60</f>
        <v>145.74999999999997</v>
      </c>
      <c r="E55" s="35">
        <v>4.9000000000000004</v>
      </c>
      <c r="F55" s="35">
        <v>13.795</v>
      </c>
      <c r="G55" s="35">
        <f t="shared" si="14"/>
        <v>8.8949999999999996</v>
      </c>
      <c r="H55" s="35">
        <v>7.72</v>
      </c>
      <c r="I55" s="35">
        <v>4.3440000000000003</v>
      </c>
      <c r="J55" s="35">
        <v>7.1999999999999995E-2</v>
      </c>
      <c r="K55" s="31">
        <f t="shared" si="15"/>
        <v>1.0165745856353592</v>
      </c>
      <c r="L55" s="35">
        <v>3.4935</v>
      </c>
      <c r="M55" s="31">
        <f t="shared" si="16"/>
        <v>0.14373585681958445</v>
      </c>
      <c r="N55" s="35">
        <v>8.03294</v>
      </c>
      <c r="O55" s="31">
        <f t="shared" si="11"/>
        <v>0.28601733990849371</v>
      </c>
      <c r="P55" s="31">
        <f t="shared" si="12"/>
        <v>3.4464377170112822E-18</v>
      </c>
      <c r="Q55" s="31">
        <f t="shared" si="17"/>
        <v>-17.462629565538496</v>
      </c>
      <c r="R55" s="31">
        <f t="shared" si="13"/>
        <v>4.7361415597093784E-18</v>
      </c>
      <c r="S55" s="31">
        <f t="shared" si="9"/>
        <v>-17.324575325355688</v>
      </c>
      <c r="T55" s="31">
        <f t="shared" si="10"/>
        <v>1.9898816220054214</v>
      </c>
    </row>
    <row r="56" spans="1:20" x14ac:dyDescent="0.35">
      <c r="A56" s="35">
        <v>10</v>
      </c>
      <c r="B56" s="32">
        <v>43872</v>
      </c>
      <c r="C56" s="36">
        <v>0.65625</v>
      </c>
      <c r="D56" s="37">
        <f>D55+5.5</f>
        <v>151.24999999999997</v>
      </c>
      <c r="E56" s="35">
        <v>4.899</v>
      </c>
      <c r="F56" s="35">
        <v>17.135000000000002</v>
      </c>
      <c r="G56" s="35">
        <f t="shared" si="14"/>
        <v>12.236000000000001</v>
      </c>
      <c r="H56" s="35">
        <v>7.43</v>
      </c>
      <c r="I56" s="35">
        <v>5.6509999999999998</v>
      </c>
      <c r="J56" s="35">
        <v>7.5999999999999998E-2</v>
      </c>
      <c r="K56" s="31">
        <f t="shared" si="15"/>
        <v>1.0134489470890107</v>
      </c>
      <c r="L56" s="35">
        <v>2.1905899999999998</v>
      </c>
      <c r="M56" s="31">
        <f t="shared" si="16"/>
        <v>9.0129191524377691E-2</v>
      </c>
      <c r="N56" s="35">
        <v>5.2705500000000001</v>
      </c>
      <c r="O56" s="31">
        <f t="shared" si="11"/>
        <v>0.18766089263142904</v>
      </c>
      <c r="P56" s="31">
        <f t="shared" si="12"/>
        <v>2.0014665540602849E-18</v>
      </c>
      <c r="Q56" s="31">
        <f t="shared" si="17"/>
        <v>-17.698651662870105</v>
      </c>
      <c r="R56" s="31">
        <f t="shared" si="13"/>
        <v>2.9686719210862077E-18</v>
      </c>
      <c r="S56" s="31">
        <f t="shared" si="9"/>
        <v>-17.527437795241529</v>
      </c>
      <c r="T56" s="31">
        <f t="shared" si="10"/>
        <v>2.0821322088601169</v>
      </c>
    </row>
    <row r="57" spans="1:20" x14ac:dyDescent="0.35">
      <c r="A57" s="31">
        <v>11</v>
      </c>
      <c r="B57" s="32">
        <v>43873</v>
      </c>
      <c r="C57" s="36">
        <v>0.35416666666666669</v>
      </c>
      <c r="D57" s="37">
        <f>7*24</f>
        <v>168</v>
      </c>
      <c r="E57" s="35">
        <v>4.8949999999999996</v>
      </c>
      <c r="F57" s="35">
        <v>13.57</v>
      </c>
      <c r="G57" s="35">
        <f t="shared" si="14"/>
        <v>8.6750000000000007</v>
      </c>
      <c r="H57" s="35">
        <v>7.76</v>
      </c>
      <c r="I57" s="35">
        <v>3.88</v>
      </c>
      <c r="J57" s="35">
        <v>5.2999999999999999E-2</v>
      </c>
      <c r="K57" s="31">
        <f t="shared" si="15"/>
        <v>1.0136597938144329</v>
      </c>
      <c r="L57" s="35">
        <v>3.1585299999999998</v>
      </c>
      <c r="M57" s="31">
        <f t="shared" si="16"/>
        <v>0.12995391894671879</v>
      </c>
      <c r="N57" s="35">
        <v>7.8928799999999999</v>
      </c>
      <c r="O57" s="31">
        <f t="shared" si="11"/>
        <v>0.28103042495237757</v>
      </c>
      <c r="P57" s="31">
        <f t="shared" si="12"/>
        <v>3.0749446818410128E-18</v>
      </c>
      <c r="Q57" s="31">
        <f t="shared" si="17"/>
        <v>-17.51216269276248</v>
      </c>
      <c r="R57" s="31">
        <f t="shared" si="13"/>
        <v>4.6465264808879372E-18</v>
      </c>
      <c r="S57" s="31">
        <f t="shared" si="9"/>
        <v>-17.332871583431533</v>
      </c>
      <c r="T57" s="31">
        <f t="shared" si="10"/>
        <v>2.1625390540750082</v>
      </c>
    </row>
    <row r="58" spans="1:20" x14ac:dyDescent="0.35">
      <c r="A58" s="31">
        <v>12</v>
      </c>
      <c r="B58" s="32">
        <v>43873</v>
      </c>
      <c r="C58" s="36">
        <v>0.60416666666666663</v>
      </c>
      <c r="D58" s="37">
        <f>D57+6</f>
        <v>174</v>
      </c>
      <c r="E58" s="35">
        <v>4.9260000000000002</v>
      </c>
      <c r="F58" s="35">
        <v>13.116</v>
      </c>
      <c r="G58" s="35">
        <f t="shared" si="14"/>
        <v>8.19</v>
      </c>
      <c r="H58" s="35">
        <v>7.74</v>
      </c>
      <c r="I58" s="35">
        <v>3.67</v>
      </c>
      <c r="J58" s="35">
        <v>7.6999999999999999E-2</v>
      </c>
      <c r="K58" s="31">
        <f t="shared" si="15"/>
        <v>1.0209809264305176</v>
      </c>
      <c r="L58" s="35">
        <v>3.0928</v>
      </c>
      <c r="M58" s="31">
        <f t="shared" si="16"/>
        <v>0.12724953713227732</v>
      </c>
      <c r="N58" s="35">
        <v>7.7731899999999996</v>
      </c>
      <c r="O58" s="31">
        <f t="shared" si="11"/>
        <v>0.27676879528582365</v>
      </c>
      <c r="P58" s="31">
        <f t="shared" si="12"/>
        <v>3.0020478934667059E-18</v>
      </c>
      <c r="Q58" s="31">
        <f t="shared" si="17"/>
        <v>-17.522582383477694</v>
      </c>
      <c r="R58" s="31">
        <f t="shared" si="13"/>
        <v>4.5699448102886353E-18</v>
      </c>
      <c r="S58" s="31">
        <f t="shared" si="9"/>
        <v>-17.34008904472924</v>
      </c>
      <c r="T58" s="31">
        <f t="shared" si="10"/>
        <v>2.1750082674023354</v>
      </c>
    </row>
    <row r="59" spans="1:20" x14ac:dyDescent="0.35">
      <c r="A59" s="31">
        <v>13</v>
      </c>
      <c r="B59" s="32">
        <v>43874</v>
      </c>
      <c r="C59" s="36">
        <v>0.44791666666666669</v>
      </c>
      <c r="D59" s="37">
        <f>D55+2*24+0.5</f>
        <v>194.24999999999997</v>
      </c>
      <c r="E59" s="35">
        <v>5.1929999999999996</v>
      </c>
      <c r="F59" s="35"/>
      <c r="G59" s="35">
        <f t="shared" si="14"/>
        <v>-5.1929999999999996</v>
      </c>
      <c r="H59" s="35">
        <v>7.76</v>
      </c>
      <c r="I59" s="35">
        <v>6.0709999999999997</v>
      </c>
      <c r="J59" s="35">
        <v>6.6000000000000003E-2</v>
      </c>
      <c r="K59" s="31">
        <f t="shared" si="15"/>
        <v>1.010871355625103</v>
      </c>
      <c r="L59" s="35">
        <v>3.1837399999999998</v>
      </c>
      <c r="M59" s="31">
        <f t="shared" si="16"/>
        <v>0.13099115408352191</v>
      </c>
      <c r="N59" s="35">
        <v>8.0956200000000003</v>
      </c>
      <c r="O59" s="31">
        <f t="shared" si="11"/>
        <v>0.2882490965088747</v>
      </c>
      <c r="P59" s="31">
        <f t="shared" si="12"/>
        <v>3.1029034226734533E-18</v>
      </c>
      <c r="Q59" s="31">
        <f t="shared" si="17"/>
        <v>-17.508231741545298</v>
      </c>
      <c r="R59" s="31">
        <f t="shared" si="13"/>
        <v>4.7762463229574721E-18</v>
      </c>
      <c r="S59" s="31">
        <f t="shared" si="9"/>
        <v>-17.320913283649496</v>
      </c>
      <c r="T59" s="31">
        <f t="shared" si="10"/>
        <v>2.2005233752279394</v>
      </c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9640EA-523F-44B1-814D-5E9DDB799ADD}">
  <dimension ref="A1:E18"/>
  <sheetViews>
    <sheetView workbookViewId="0">
      <selection activeCell="E6" sqref="E6"/>
    </sheetView>
  </sheetViews>
  <sheetFormatPr defaultRowHeight="14.5" x14ac:dyDescent="0.35"/>
  <cols>
    <col min="1" max="1" width="18.90625" bestFit="1" customWidth="1"/>
    <col min="2" max="3" width="18.6328125" bestFit="1" customWidth="1"/>
    <col min="4" max="4" width="18.90625" bestFit="1" customWidth="1"/>
    <col min="5" max="5" width="18.6328125" bestFit="1" customWidth="1"/>
  </cols>
  <sheetData>
    <row r="1" spans="1:5" x14ac:dyDescent="0.35">
      <c r="A1" s="74"/>
      <c r="B1" s="74" t="s">
        <v>82</v>
      </c>
      <c r="C1" s="72"/>
      <c r="D1" s="74" t="s">
        <v>83</v>
      </c>
      <c r="E1" s="72"/>
    </row>
    <row r="2" spans="1:5" ht="15.5" x14ac:dyDescent="0.35">
      <c r="A2" s="75" t="s">
        <v>84</v>
      </c>
      <c r="B2" s="73" t="s">
        <v>80</v>
      </c>
      <c r="C2" s="73" t="s">
        <v>81</v>
      </c>
      <c r="D2" s="73" t="s">
        <v>80</v>
      </c>
      <c r="E2" s="73" t="s">
        <v>81</v>
      </c>
    </row>
    <row r="3" spans="1:5" x14ac:dyDescent="0.35">
      <c r="A3" s="2">
        <v>5400</v>
      </c>
      <c r="B3">
        <v>2.3363281171185604E-5</v>
      </c>
      <c r="C3">
        <v>2.2395069953364426E-5</v>
      </c>
      <c r="D3">
        <v>2.0045933988423198E-5</v>
      </c>
      <c r="E3">
        <v>1.888074616922052E-5</v>
      </c>
    </row>
    <row r="4" spans="1:5" x14ac:dyDescent="0.35">
      <c r="A4" s="2">
        <v>10800</v>
      </c>
      <c r="B4">
        <v>3.8758618800330404E-5</v>
      </c>
      <c r="C4">
        <v>3.744503664223851E-5</v>
      </c>
      <c r="D4">
        <v>3.4658786747384308E-5</v>
      </c>
      <c r="E4">
        <v>3.3362758161225847E-5</v>
      </c>
    </row>
    <row r="5" spans="1:5" x14ac:dyDescent="0.35">
      <c r="A5" s="2">
        <v>16500</v>
      </c>
      <c r="B5">
        <v>4.5389157153344214E-5</v>
      </c>
      <c r="C5">
        <v>4.3792471685542977E-5</v>
      </c>
      <c r="D5">
        <v>4.0340165347973781E-5</v>
      </c>
      <c r="E5">
        <v>3.895236508994004E-5</v>
      </c>
    </row>
    <row r="6" spans="1:5" x14ac:dyDescent="0.35">
      <c r="A6" s="2">
        <v>23400</v>
      </c>
      <c r="B6">
        <v>4.6816951558067232E-5</v>
      </c>
      <c r="C6">
        <v>4.4918387741505664E-5</v>
      </c>
      <c r="D6">
        <v>4.211925040770152E-5</v>
      </c>
      <c r="E6">
        <v>4.0194870086608931E-5</v>
      </c>
    </row>
    <row r="7" spans="1:5" x14ac:dyDescent="0.35">
      <c r="A7" s="2">
        <v>30600</v>
      </c>
      <c r="B7">
        <v>4.5798349984828334E-5</v>
      </c>
      <c r="C7">
        <v>4.39257161892072E-5</v>
      </c>
      <c r="D7">
        <v>4.0986938565401326E-5</v>
      </c>
      <c r="E7">
        <v>3.9143904063957365E-5</v>
      </c>
    </row>
    <row r="8" spans="1:5" x14ac:dyDescent="0.35">
      <c r="A8" s="2">
        <v>37500</v>
      </c>
      <c r="B8">
        <v>4.3989264853638887E-5</v>
      </c>
      <c r="C8">
        <v>4.2068620919387071E-5</v>
      </c>
      <c r="D8">
        <v>3.8892829519339631E-5</v>
      </c>
      <c r="E8">
        <v>3.724183877415057E-5</v>
      </c>
    </row>
    <row r="9" spans="1:5" x14ac:dyDescent="0.35">
      <c r="A9" s="2">
        <v>44100</v>
      </c>
      <c r="B9">
        <v>4.1805338440949179E-5</v>
      </c>
      <c r="C9">
        <v>3.9841772151898742E-5</v>
      </c>
      <c r="D9">
        <v>3.6632077971323135E-5</v>
      </c>
      <c r="E9">
        <v>3.4928381079280485E-5</v>
      </c>
    </row>
    <row r="10" spans="1:5" x14ac:dyDescent="0.35">
      <c r="A10" s="2">
        <v>90000</v>
      </c>
      <c r="B10">
        <v>2.5157948845815503E-5</v>
      </c>
      <c r="C10">
        <v>2.3907395069953365E-5</v>
      </c>
      <c r="D10">
        <v>1.7097787678664751E-5</v>
      </c>
      <c r="E10">
        <v>1.6242504996668887E-5</v>
      </c>
    </row>
    <row r="11" spans="1:5" x14ac:dyDescent="0.35">
      <c r="A11" s="2">
        <v>97380</v>
      </c>
      <c r="B11">
        <v>2.3383227129608713E-5</v>
      </c>
      <c r="C11">
        <v>2.2346768820786141E-5</v>
      </c>
      <c r="D11">
        <v>1.673140681820225E-5</v>
      </c>
      <c r="E11">
        <v>1.5966022651565623E-5</v>
      </c>
    </row>
    <row r="12" spans="1:5" x14ac:dyDescent="0.35">
      <c r="A12" s="2">
        <v>104400</v>
      </c>
      <c r="B12">
        <v>2.215260625599223E-5</v>
      </c>
      <c r="C12">
        <v>2.1259160559626915E-5</v>
      </c>
      <c r="D12">
        <v>1.5527670239072066E-5</v>
      </c>
      <c r="E12">
        <v>1.5046635576282477E-5</v>
      </c>
    </row>
    <row r="13" spans="1:5" x14ac:dyDescent="0.35">
      <c r="A13" s="2">
        <v>111600</v>
      </c>
      <c r="B13">
        <v>2.1323543898341237E-5</v>
      </c>
      <c r="C13">
        <v>2.0401399067288475E-5</v>
      </c>
      <c r="D13">
        <v>1.5337620445036476E-5</v>
      </c>
      <c r="E13">
        <v>1.4455363091272485E-5</v>
      </c>
    </row>
    <row r="14" spans="1:5" x14ac:dyDescent="0.35">
      <c r="A14" s="2">
        <v>118800</v>
      </c>
      <c r="B14">
        <v>2.0497308114821655E-5</v>
      </c>
      <c r="C14">
        <v>1.9408727514990008E-5</v>
      </c>
      <c r="D14">
        <v>1.5111944794618764E-5</v>
      </c>
      <c r="E14">
        <v>1.4460359760159894E-5</v>
      </c>
    </row>
    <row r="15" spans="1:5" x14ac:dyDescent="0.35">
      <c r="A15" s="2">
        <v>126000</v>
      </c>
      <c r="B15">
        <v>1.9378041630709879E-5</v>
      </c>
      <c r="C15">
        <v>1.8584277148567622E-5</v>
      </c>
      <c r="D15">
        <v>1.498143199061304E-5</v>
      </c>
      <c r="E15">
        <v>1.4313790806129248E-5</v>
      </c>
    </row>
    <row r="16" spans="1:5" x14ac:dyDescent="0.35">
      <c r="A16" s="2">
        <v>133200</v>
      </c>
      <c r="B16">
        <v>1.8784881300364664E-5</v>
      </c>
      <c r="C16">
        <v>1.781145902731512E-5</v>
      </c>
      <c r="D16">
        <v>1.5414430431512734E-5</v>
      </c>
      <c r="E16">
        <v>1.4663557628247834E-5</v>
      </c>
    </row>
    <row r="17" spans="1:5" x14ac:dyDescent="0.35">
      <c r="A17" s="2">
        <v>138600</v>
      </c>
      <c r="B17">
        <v>1.8155977737800538E-5</v>
      </c>
      <c r="C17">
        <v>1.7370086608927381E-5</v>
      </c>
      <c r="D17">
        <v>1.5223300578013259E-5</v>
      </c>
      <c r="E17">
        <v>1.4661892071952033E-5</v>
      </c>
    </row>
    <row r="18" spans="1:5" x14ac:dyDescent="0.35">
      <c r="A18" s="2">
        <v>144000</v>
      </c>
      <c r="B18">
        <v>1.7685013129964453E-5</v>
      </c>
      <c r="C18">
        <v>1.6797135243171217E-5</v>
      </c>
      <c r="D18">
        <v>1.5324308561160585E-5</v>
      </c>
      <c r="E18">
        <v>1.4765156562291804E-5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909BAE-F51D-419E-88A0-CBA84A2FC6BE}">
  <dimension ref="A1:Y72"/>
  <sheetViews>
    <sheetView workbookViewId="0">
      <selection activeCell="E8" sqref="E8"/>
    </sheetView>
  </sheetViews>
  <sheetFormatPr defaultColWidth="10.81640625" defaultRowHeight="14.5" x14ac:dyDescent="0.35"/>
  <cols>
    <col min="1" max="1" width="14.453125" customWidth="1"/>
    <col min="3" max="3" width="11.81640625" bestFit="1" customWidth="1"/>
    <col min="4" max="4" width="11.6328125" customWidth="1"/>
    <col min="5" max="5" width="12.453125" bestFit="1" customWidth="1"/>
    <col min="6" max="6" width="15.453125" bestFit="1" customWidth="1"/>
    <col min="7" max="7" width="15.36328125" bestFit="1" customWidth="1"/>
    <col min="8" max="8" width="15" bestFit="1" customWidth="1"/>
    <col min="9" max="9" width="15.36328125" bestFit="1" customWidth="1"/>
    <col min="10" max="12" width="15" bestFit="1" customWidth="1"/>
    <col min="13" max="13" width="13.1796875" bestFit="1" customWidth="1"/>
    <col min="16" max="16" width="12.36328125" bestFit="1" customWidth="1"/>
    <col min="17" max="17" width="12.36328125" customWidth="1"/>
    <col min="18" max="18" width="15" bestFit="1" customWidth="1"/>
    <col min="19" max="19" width="11.6328125" customWidth="1"/>
    <col min="20" max="20" width="15" bestFit="1" customWidth="1"/>
    <col min="21" max="21" width="18" bestFit="1" customWidth="1"/>
    <col min="22" max="22" width="21.1796875" bestFit="1" customWidth="1"/>
    <col min="23" max="23" width="16.81640625" bestFit="1" customWidth="1"/>
    <col min="24" max="24" width="20" bestFit="1" customWidth="1"/>
  </cols>
  <sheetData>
    <row r="1" spans="1:25" ht="18.5" x14ac:dyDescent="0.45">
      <c r="A1" s="1" t="s">
        <v>43</v>
      </c>
    </row>
    <row r="2" spans="1:25" x14ac:dyDescent="0.35">
      <c r="A2" s="2" t="s">
        <v>0</v>
      </c>
      <c r="C2" s="3"/>
    </row>
    <row r="3" spans="1:25" x14ac:dyDescent="0.35">
      <c r="A3" s="2" t="s">
        <v>1</v>
      </c>
    </row>
    <row r="4" spans="1:25" x14ac:dyDescent="0.35">
      <c r="A4" s="2" t="s">
        <v>2</v>
      </c>
    </row>
    <row r="5" spans="1:25" x14ac:dyDescent="0.35">
      <c r="A5" s="2" t="s">
        <v>3</v>
      </c>
      <c r="C5">
        <f>9.195+1.082-9.301</f>
        <v>0.97600000000000087</v>
      </c>
    </row>
    <row r="6" spans="1:25" x14ac:dyDescent="0.35">
      <c r="A6" s="2" t="s">
        <v>4</v>
      </c>
      <c r="C6">
        <f>AVERAGE(G25:G29)/(120*60)</f>
        <v>9.0169444444444433E-4</v>
      </c>
    </row>
    <row r="7" spans="1:25" ht="15" thickBot="1" x14ac:dyDescent="0.4">
      <c r="A7" s="2" t="s">
        <v>5</v>
      </c>
      <c r="C7">
        <v>2140000</v>
      </c>
    </row>
    <row r="8" spans="1:25" x14ac:dyDescent="0.35">
      <c r="A8" s="4" t="s">
        <v>6</v>
      </c>
      <c r="B8" s="5"/>
      <c r="C8" s="6">
        <f>AVERAGE(V23:V29)</f>
        <v>-16.511418977961824</v>
      </c>
    </row>
    <row r="9" spans="1:25" ht="15" thickBot="1" x14ac:dyDescent="0.4">
      <c r="A9" s="7" t="s">
        <v>7</v>
      </c>
      <c r="B9" s="8"/>
      <c r="C9" s="9">
        <f>AVERAGE(X23:X29)</f>
        <v>-16.517215940330452</v>
      </c>
    </row>
    <row r="10" spans="1:25" x14ac:dyDescent="0.35">
      <c r="A10" s="10"/>
    </row>
    <row r="11" spans="1:25" x14ac:dyDescent="0.35">
      <c r="A11" s="2"/>
    </row>
    <row r="12" spans="1:25" ht="15" thickBot="1" x14ac:dyDescent="0.4"/>
    <row r="13" spans="1:25" x14ac:dyDescent="0.35">
      <c r="A13" s="11" t="s">
        <v>8</v>
      </c>
      <c r="B13" s="12"/>
      <c r="C13" s="12"/>
      <c r="D13" s="12"/>
      <c r="E13" s="13" t="s">
        <v>9</v>
      </c>
      <c r="F13" s="13"/>
      <c r="G13" s="13"/>
      <c r="H13" s="14"/>
      <c r="I13" s="14"/>
      <c r="J13" s="14"/>
      <c r="K13" s="15" t="s">
        <v>10</v>
      </c>
      <c r="L13" s="15"/>
      <c r="M13" s="15"/>
      <c r="N13" s="16" t="s">
        <v>10</v>
      </c>
      <c r="O13" s="16"/>
      <c r="P13" s="16"/>
      <c r="Q13" s="17" t="s">
        <v>11</v>
      </c>
      <c r="R13" s="18"/>
      <c r="S13" s="18"/>
      <c r="T13" s="18"/>
      <c r="U13" s="19" t="s">
        <v>12</v>
      </c>
      <c r="V13" s="20"/>
      <c r="W13" s="20"/>
      <c r="X13" s="20"/>
      <c r="Y13" s="21"/>
    </row>
    <row r="14" spans="1:25" ht="15" thickBot="1" x14ac:dyDescent="0.4">
      <c r="A14" s="22" t="s">
        <v>13</v>
      </c>
      <c r="B14" s="23" t="s">
        <v>14</v>
      </c>
      <c r="C14" s="23" t="s">
        <v>15</v>
      </c>
      <c r="D14" s="23" t="s">
        <v>16</v>
      </c>
      <c r="E14" s="24" t="s">
        <v>17</v>
      </c>
      <c r="F14" s="24" t="s">
        <v>18</v>
      </c>
      <c r="G14" s="24" t="s">
        <v>19</v>
      </c>
      <c r="H14" s="24" t="s">
        <v>20</v>
      </c>
      <c r="I14" s="24" t="s">
        <v>21</v>
      </c>
      <c r="J14" s="24" t="s">
        <v>22</v>
      </c>
      <c r="K14" s="25"/>
      <c r="L14" s="25" t="s">
        <v>23</v>
      </c>
      <c r="M14" s="25" t="s">
        <v>24</v>
      </c>
      <c r="N14" s="26" t="s">
        <v>25</v>
      </c>
      <c r="O14" s="26" t="s">
        <v>26</v>
      </c>
      <c r="P14" s="26" t="s">
        <v>27</v>
      </c>
      <c r="Q14" s="27" t="s">
        <v>28</v>
      </c>
      <c r="R14" s="27" t="s">
        <v>29</v>
      </c>
      <c r="S14" s="27" t="s">
        <v>30</v>
      </c>
      <c r="T14" s="27" t="s">
        <v>31</v>
      </c>
      <c r="U14" s="29" t="s">
        <v>32</v>
      </c>
      <c r="V14" s="29" t="s">
        <v>33</v>
      </c>
      <c r="W14" s="29" t="s">
        <v>34</v>
      </c>
      <c r="X14" s="29" t="s">
        <v>35</v>
      </c>
      <c r="Y14" s="30" t="s">
        <v>36</v>
      </c>
    </row>
    <row r="15" spans="1:25" x14ac:dyDescent="0.35">
      <c r="A15" s="35">
        <v>1</v>
      </c>
      <c r="B15" s="38">
        <v>43598</v>
      </c>
      <c r="C15" s="33">
        <v>0.46527777777777773</v>
      </c>
      <c r="D15" s="37">
        <v>1</v>
      </c>
      <c r="E15" s="35">
        <v>6.6459999999999999</v>
      </c>
      <c r="F15" s="35">
        <v>15.548999999999999</v>
      </c>
      <c r="G15" s="31">
        <f t="shared" ref="G15:G29" si="0">F15-E15</f>
        <v>8.9029999999999987</v>
      </c>
      <c r="H15" s="35">
        <v>9.01</v>
      </c>
      <c r="I15" s="35">
        <v>3.9079999999999999</v>
      </c>
      <c r="J15" s="35">
        <v>5.6000000000000001E-2</v>
      </c>
      <c r="K15" s="46">
        <v>0.50700000000000001</v>
      </c>
      <c r="L15" s="35">
        <v>4.9950000000000001</v>
      </c>
      <c r="M15" s="31">
        <f t="shared" ref="M15:M29" si="1">((I15+J15)/I15)*(L15/K15)</f>
        <v>9.9932470489906926</v>
      </c>
      <c r="N15" s="35">
        <v>0.51</v>
      </c>
      <c r="O15" s="35">
        <v>10.238</v>
      </c>
      <c r="P15" s="31">
        <f t="shared" ref="P15:P29" si="2">O15/N15</f>
        <v>20.074509803921568</v>
      </c>
      <c r="Q15" s="31">
        <v>1.9784999999999999</v>
      </c>
      <c r="R15" s="31">
        <f t="shared" ref="R15:R29" si="3">Q15/24.305*M15</f>
        <v>0.81348032447760066</v>
      </c>
      <c r="S15" s="31">
        <v>7.5536000000000003</v>
      </c>
      <c r="T15" s="31">
        <f>S15/60.08*P15</f>
        <v>2.5238817785436409</v>
      </c>
      <c r="U15" s="31">
        <f>((($O$39-R15)*10^(-6))*$C$6)/($C$7*$C$5*4)</f>
        <v>3.7984242479533383E-17</v>
      </c>
      <c r="V15" s="31">
        <f>LOG(U15)</f>
        <v>-16.420396530316403</v>
      </c>
      <c r="W15" s="31">
        <f>((($Q$41-T15)*10^(-6))*$C$6)/($C$7*$C$5*6)</f>
        <v>1.4204926809787672E-17</v>
      </c>
      <c r="X15" s="31">
        <f t="shared" ref="X15:X29" si="4">LOG(W15)</f>
        <v>-16.84756099961702</v>
      </c>
      <c r="Y15" s="31">
        <f t="shared" ref="Y15:Y29" si="5">($Q$35-T15)/($O$35-R15)</f>
        <v>-0.30355459213015978</v>
      </c>
    </row>
    <row r="16" spans="1:25" x14ac:dyDescent="0.35">
      <c r="A16" s="35">
        <v>2</v>
      </c>
      <c r="B16" s="32">
        <v>43598</v>
      </c>
      <c r="C16" s="33">
        <v>0.75694444444444453</v>
      </c>
      <c r="D16" s="37">
        <f>D15+7</f>
        <v>8</v>
      </c>
      <c r="E16" s="35">
        <v>6.6120000000000001</v>
      </c>
      <c r="F16" s="35">
        <v>13.521000000000001</v>
      </c>
      <c r="G16" s="31">
        <f t="shared" si="0"/>
        <v>6.9090000000000007</v>
      </c>
      <c r="H16" s="35">
        <v>8.67</v>
      </c>
      <c r="I16" s="35">
        <v>2.8370000000000002</v>
      </c>
      <c r="J16" s="35">
        <v>3.3000000000000002E-2</v>
      </c>
      <c r="K16" s="31">
        <v>0.505</v>
      </c>
      <c r="L16" s="35">
        <v>4.9779999999999998</v>
      </c>
      <c r="M16" s="31">
        <f t="shared" si="1"/>
        <v>9.9720873744053993</v>
      </c>
      <c r="N16" s="35">
        <v>0.30399999999999999</v>
      </c>
      <c r="O16" s="35">
        <v>10.047000000000001</v>
      </c>
      <c r="P16" s="31">
        <f t="shared" si="2"/>
        <v>33.049342105263158</v>
      </c>
      <c r="Q16" s="35">
        <v>1.9142399999999999</v>
      </c>
      <c r="R16" s="31">
        <f t="shared" si="3"/>
        <v>0.7853926572961033</v>
      </c>
      <c r="S16" s="35">
        <v>4.3246000000000002</v>
      </c>
      <c r="T16" s="31">
        <f t="shared" ref="T16:T29" si="6">S16/60.08*P16</f>
        <v>2.3789145284357698</v>
      </c>
      <c r="U16" s="31">
        <f t="shared" ref="U16:U29" si="7">((($O$39-R16)*10^(-6))*$C$6)/($C$7*$C$5*4)</f>
        <v>4.1015699965620107E-17</v>
      </c>
      <c r="V16" s="31">
        <f t="shared" ref="V16:V29" si="8">LOG(U16)</f>
        <v>-16.387049872468186</v>
      </c>
      <c r="W16" s="31">
        <f t="shared" ref="W16:W29" si="9">((($Q$41-T16)*10^(-6))*$C$6)/($C$7*$C$5*6)</f>
        <v>2.4635650793548679E-17</v>
      </c>
      <c r="X16" s="31">
        <f t="shared" si="4"/>
        <v>-16.608435960593706</v>
      </c>
      <c r="Y16" s="31">
        <f t="shared" si="5"/>
        <v>-4.0939948429556203</v>
      </c>
    </row>
    <row r="17" spans="1:25" x14ac:dyDescent="0.35">
      <c r="A17" s="31">
        <v>3</v>
      </c>
      <c r="B17" s="38">
        <v>43599</v>
      </c>
      <c r="C17" s="36">
        <v>0.38194444444444442</v>
      </c>
      <c r="D17" s="37">
        <v>23</v>
      </c>
      <c r="E17" s="35">
        <v>6.6849999999999996</v>
      </c>
      <c r="F17" s="35">
        <v>13.331</v>
      </c>
      <c r="G17" s="31">
        <f t="shared" si="0"/>
        <v>6.6459999999999999</v>
      </c>
      <c r="H17" s="35">
        <v>8.41</v>
      </c>
      <c r="I17" s="35">
        <v>2.9489999999999998</v>
      </c>
      <c r="J17" s="35">
        <v>6.6000000000000003E-2</v>
      </c>
      <c r="K17" s="35">
        <v>0.51100000000000001</v>
      </c>
      <c r="L17" s="35">
        <v>4.9939999999999998</v>
      </c>
      <c r="M17" s="31">
        <f t="shared" si="1"/>
        <v>9.9917183110928836</v>
      </c>
      <c r="N17" s="35">
        <v>0.32300000000000001</v>
      </c>
      <c r="O17" s="35">
        <v>10.048</v>
      </c>
      <c r="P17" s="31">
        <f t="shared" si="2"/>
        <v>31.108359133126935</v>
      </c>
      <c r="Q17" s="35">
        <v>1.86527</v>
      </c>
      <c r="R17" s="31">
        <f t="shared" si="3"/>
        <v>0.76680734063494027</v>
      </c>
      <c r="S17" s="35">
        <v>4.4105999999999996</v>
      </c>
      <c r="T17" s="31">
        <f t="shared" si="6"/>
        <v>2.2837305058683364</v>
      </c>
      <c r="U17" s="31">
        <f t="shared" si="7"/>
        <v>4.3021583792130589E-17</v>
      </c>
      <c r="V17" s="31">
        <f t="shared" si="8"/>
        <v>-16.366313605582175</v>
      </c>
      <c r="W17" s="31">
        <f t="shared" si="9"/>
        <v>3.1484358114175916E-17</v>
      </c>
      <c r="X17" s="31">
        <f t="shared" si="4"/>
        <v>-16.501905156429348</v>
      </c>
      <c r="Y17" s="31">
        <f t="shared" si="5"/>
        <v>-11.911233269946251</v>
      </c>
    </row>
    <row r="18" spans="1:25" x14ac:dyDescent="0.35">
      <c r="A18" s="35">
        <v>4</v>
      </c>
      <c r="B18" s="32">
        <v>43599</v>
      </c>
      <c r="C18" s="36">
        <v>0.59027777777777779</v>
      </c>
      <c r="D18" s="37">
        <f>D17+5</f>
        <v>28</v>
      </c>
      <c r="E18" s="35">
        <v>6.5659999999999998</v>
      </c>
      <c r="F18" s="35">
        <v>13.249000000000001</v>
      </c>
      <c r="G18" s="31">
        <f t="shared" si="0"/>
        <v>6.6830000000000007</v>
      </c>
      <c r="H18" s="35">
        <v>8.4</v>
      </c>
      <c r="I18" s="35">
        <v>2.63</v>
      </c>
      <c r="J18" s="35">
        <v>4.1000000000000002E-2</v>
      </c>
      <c r="K18" s="35">
        <v>0.505</v>
      </c>
      <c r="L18" s="35">
        <v>5.0010000000000003</v>
      </c>
      <c r="M18" s="31">
        <f t="shared" si="1"/>
        <v>10.057351202800888</v>
      </c>
      <c r="N18" s="35">
        <v>0.307</v>
      </c>
      <c r="O18" s="35">
        <v>9.6769999999999996</v>
      </c>
      <c r="P18" s="31">
        <f t="shared" si="2"/>
        <v>31.521172638436482</v>
      </c>
      <c r="Q18" s="35">
        <v>1.8828499999999999</v>
      </c>
      <c r="R18" s="31">
        <f t="shared" si="3"/>
        <v>0.7791188525897409</v>
      </c>
      <c r="S18" s="35">
        <v>4.3506999999999998</v>
      </c>
      <c r="T18" s="31">
        <f t="shared" si="6"/>
        <v>2.2826092842550869</v>
      </c>
      <c r="U18" s="31">
        <f t="shared" si="7"/>
        <v>4.1692821782838055E-17</v>
      </c>
      <c r="V18" s="31">
        <f t="shared" si="8"/>
        <v>-16.379938710696582</v>
      </c>
      <c r="W18" s="31">
        <f t="shared" si="9"/>
        <v>3.156503256418949E-17</v>
      </c>
      <c r="X18" s="31">
        <f t="shared" si="4"/>
        <v>-16.500793758294794</v>
      </c>
      <c r="Y18" s="31">
        <f t="shared" si="5"/>
        <v>-7.6587629849683623</v>
      </c>
    </row>
    <row r="19" spans="1:25" x14ac:dyDescent="0.35">
      <c r="A19" s="35">
        <v>5</v>
      </c>
      <c r="B19" s="32">
        <v>43599</v>
      </c>
      <c r="C19" s="36">
        <v>0.79861111111111116</v>
      </c>
      <c r="D19" s="37">
        <f>D18+5</f>
        <v>33</v>
      </c>
      <c r="E19" s="35">
        <v>6.6420000000000003</v>
      </c>
      <c r="F19" s="35">
        <v>13.32</v>
      </c>
      <c r="G19" s="31">
        <f t="shared" si="0"/>
        <v>6.6779999999999999</v>
      </c>
      <c r="H19" s="35">
        <v>8.2799999999999994</v>
      </c>
      <c r="I19" s="35">
        <v>2.8690000000000002</v>
      </c>
      <c r="J19" s="35">
        <v>5.2999999999999999E-2</v>
      </c>
      <c r="K19" s="35">
        <v>0.50900000000000001</v>
      </c>
      <c r="L19" s="35">
        <v>4.9770000000000003</v>
      </c>
      <c r="M19" s="31">
        <f t="shared" si="1"/>
        <v>9.958628274194508</v>
      </c>
      <c r="N19" s="35">
        <v>0.308</v>
      </c>
      <c r="O19" s="35">
        <v>10.012</v>
      </c>
      <c r="P19" s="31">
        <f t="shared" si="2"/>
        <v>32.506493506493506</v>
      </c>
      <c r="Q19" s="35">
        <v>1.8740000000000001</v>
      </c>
      <c r="R19" s="31">
        <f t="shared" si="3"/>
        <v>0.76784486261429785</v>
      </c>
      <c r="S19" s="35">
        <v>4.1920999999999999</v>
      </c>
      <c r="T19" s="31">
        <f t="shared" si="6"/>
        <v>2.2681503233783524</v>
      </c>
      <c r="U19" s="31">
        <f t="shared" si="7"/>
        <v>4.2909605686188958E-17</v>
      </c>
      <c r="V19" s="31">
        <f t="shared" si="8"/>
        <v>-16.367445476357542</v>
      </c>
      <c r="W19" s="31">
        <f t="shared" si="9"/>
        <v>3.2605387747066946E-17</v>
      </c>
      <c r="X19" s="31">
        <f t="shared" si="4"/>
        <v>-16.486710630745275</v>
      </c>
      <c r="Y19" s="31">
        <f t="shared" si="5"/>
        <v>-12.05164401648012</v>
      </c>
    </row>
    <row r="20" spans="1:25" x14ac:dyDescent="0.35">
      <c r="A20" s="31">
        <v>6</v>
      </c>
      <c r="B20" s="32">
        <v>43600</v>
      </c>
      <c r="C20" s="36">
        <v>0.40625</v>
      </c>
      <c r="D20" s="37">
        <f>D17+24+35/60</f>
        <v>47.583333333333336</v>
      </c>
      <c r="E20" s="35">
        <v>6.6589999999999998</v>
      </c>
      <c r="F20" s="35">
        <v>13.282</v>
      </c>
      <c r="G20" s="31">
        <f t="shared" si="0"/>
        <v>6.6230000000000002</v>
      </c>
      <c r="H20" s="35">
        <v>8.42</v>
      </c>
      <c r="I20" s="35">
        <v>2.8039999999999998</v>
      </c>
      <c r="J20" s="35">
        <v>6.2E-2</v>
      </c>
      <c r="K20" s="35">
        <v>0.51100000000000001</v>
      </c>
      <c r="L20" s="35">
        <v>4.9619999999999997</v>
      </c>
      <c r="M20" s="31">
        <f t="shared" si="1"/>
        <v>9.9250804693323182</v>
      </c>
      <c r="N20" s="35">
        <v>0.308</v>
      </c>
      <c r="O20" s="35">
        <v>10.061999999999999</v>
      </c>
      <c r="P20" s="31">
        <f t="shared" si="2"/>
        <v>32.668831168831169</v>
      </c>
      <c r="Q20" s="35">
        <v>1.93103</v>
      </c>
      <c r="R20" s="31">
        <f t="shared" si="3"/>
        <v>0.78854672448857388</v>
      </c>
      <c r="S20" s="35">
        <v>4.1295999999999999</v>
      </c>
      <c r="T20" s="31">
        <f t="shared" si="6"/>
        <v>2.2454927628962249</v>
      </c>
      <c r="U20" s="31">
        <f t="shared" si="7"/>
        <v>4.0675286483060253E-17</v>
      </c>
      <c r="V20" s="31">
        <f t="shared" si="8"/>
        <v>-16.390669379569367</v>
      </c>
      <c r="W20" s="31">
        <f t="shared" si="9"/>
        <v>3.4235650853793362E-17</v>
      </c>
      <c r="X20" s="31">
        <f t="shared" si="4"/>
        <v>-16.465521411347879</v>
      </c>
      <c r="Y20" s="31">
        <f t="shared" si="5"/>
        <v>-6.8548645144056239</v>
      </c>
    </row>
    <row r="21" spans="1:25" x14ac:dyDescent="0.35">
      <c r="A21" s="35">
        <v>7</v>
      </c>
      <c r="B21" s="32">
        <v>43600</v>
      </c>
      <c r="C21" s="36">
        <v>0.66666666666666663</v>
      </c>
      <c r="D21" s="37">
        <f>D20+6+15/60</f>
        <v>53.833333333333336</v>
      </c>
      <c r="E21" s="35">
        <v>6.6429999999999998</v>
      </c>
      <c r="F21" s="35">
        <v>13.57</v>
      </c>
      <c r="G21" s="31">
        <f t="shared" si="0"/>
        <v>6.9270000000000005</v>
      </c>
      <c r="H21" s="35">
        <v>8.36</v>
      </c>
      <c r="I21" s="35">
        <v>3.0449999999999999</v>
      </c>
      <c r="J21" s="35">
        <v>5.1999999999999998E-2</v>
      </c>
      <c r="K21" s="35">
        <v>0.51200000000000001</v>
      </c>
      <c r="L21" s="35">
        <v>5.0330000000000004</v>
      </c>
      <c r="M21" s="31">
        <f t="shared" si="1"/>
        <v>9.9979480962643681</v>
      </c>
      <c r="N21" s="35">
        <v>0.30399999999999999</v>
      </c>
      <c r="O21" s="35">
        <v>10.051</v>
      </c>
      <c r="P21" s="31">
        <f t="shared" si="2"/>
        <v>33.0625</v>
      </c>
      <c r="Q21" s="35">
        <v>1.97156</v>
      </c>
      <c r="R21" s="31">
        <f t="shared" si="3"/>
        <v>0.81100821019012448</v>
      </c>
      <c r="S21" s="35">
        <v>4.0978000000000003</v>
      </c>
      <c r="T21" s="31">
        <f t="shared" si="6"/>
        <v>2.2550518059254334</v>
      </c>
      <c r="U21" s="31">
        <f t="shared" si="7"/>
        <v>3.8251053863861102E-17</v>
      </c>
      <c r="V21" s="31">
        <f t="shared" si="8"/>
        <v>-16.417356594995212</v>
      </c>
      <c r="W21" s="31">
        <f t="shared" si="9"/>
        <v>3.3547855925543188E-17</v>
      </c>
      <c r="X21" s="31">
        <f t="shared" si="4"/>
        <v>-16.474335230769515</v>
      </c>
      <c r="Y21" s="31">
        <f t="shared" si="5"/>
        <v>-4.3812835915739399</v>
      </c>
    </row>
    <row r="22" spans="1:25" x14ac:dyDescent="0.35">
      <c r="A22" s="35">
        <v>8</v>
      </c>
      <c r="B22" s="32">
        <v>43601</v>
      </c>
      <c r="C22" s="36">
        <v>0.51041666666666663</v>
      </c>
      <c r="D22" s="37">
        <f>D21+24-3-45/60</f>
        <v>74.083333333333343</v>
      </c>
      <c r="E22" s="35">
        <v>6.641</v>
      </c>
      <c r="F22" s="35">
        <v>10.015000000000001</v>
      </c>
      <c r="G22" s="31">
        <f t="shared" si="0"/>
        <v>3.3740000000000006</v>
      </c>
      <c r="H22" s="35">
        <v>8.2100000000000009</v>
      </c>
      <c r="I22" s="35">
        <v>4.6020000000000003</v>
      </c>
      <c r="J22" s="35">
        <v>9.0999999999999998E-2</v>
      </c>
      <c r="K22" s="35">
        <v>0.50900000000000001</v>
      </c>
      <c r="L22" s="35">
        <v>5.0110000000000001</v>
      </c>
      <c r="M22" s="31">
        <f t="shared" si="1"/>
        <v>10.03946477528776</v>
      </c>
      <c r="N22" s="35">
        <v>30.308</v>
      </c>
      <c r="O22" s="35">
        <v>9.9809999999999999</v>
      </c>
      <c r="P22" s="31">
        <f t="shared" si="2"/>
        <v>0.3293189916853636</v>
      </c>
      <c r="Q22" s="35">
        <v>2.0499800000000001</v>
      </c>
      <c r="R22" s="31">
        <f t="shared" si="3"/>
        <v>0.84676823699010095</v>
      </c>
      <c r="S22" s="35">
        <v>4.2398999999999996</v>
      </c>
      <c r="T22" s="31">
        <f t="shared" si="6"/>
        <v>2.3240339428208606E-2</v>
      </c>
      <c r="U22" s="31">
        <f t="shared" si="7"/>
        <v>3.4391530741312085E-17</v>
      </c>
      <c r="V22" s="31">
        <f t="shared" si="8"/>
        <v>-16.463548493625204</v>
      </c>
      <c r="W22" s="31">
        <f t="shared" si="9"/>
        <v>1.9413177659385319E-16</v>
      </c>
      <c r="X22" s="31">
        <f t="shared" si="4"/>
        <v>-15.711903371000929</v>
      </c>
      <c r="Y22" s="31">
        <f t="shared" si="5"/>
        <v>-24.751632655439128</v>
      </c>
    </row>
    <row r="23" spans="1:25" x14ac:dyDescent="0.35">
      <c r="A23" s="31">
        <v>9</v>
      </c>
      <c r="B23" s="32">
        <v>43602</v>
      </c>
      <c r="C23" s="36">
        <v>0.52083333333333337</v>
      </c>
      <c r="D23" s="37">
        <f>D22+24+15/60</f>
        <v>98.333333333333343</v>
      </c>
      <c r="E23" s="35">
        <v>6.57</v>
      </c>
      <c r="F23" s="35">
        <v>13.055999999999999</v>
      </c>
      <c r="G23" s="31">
        <f t="shared" si="0"/>
        <v>6.4859999999999989</v>
      </c>
      <c r="H23" s="35">
        <v>8.2100000000000009</v>
      </c>
      <c r="I23" s="35">
        <v>2.9020000000000001</v>
      </c>
      <c r="J23" s="35">
        <v>3.3000000000000002E-2</v>
      </c>
      <c r="K23" s="35">
        <v>0.51</v>
      </c>
      <c r="L23" s="35">
        <v>5</v>
      </c>
      <c r="M23" s="31">
        <f t="shared" si="1"/>
        <v>9.9154065485601564</v>
      </c>
      <c r="N23" s="35">
        <v>0.308</v>
      </c>
      <c r="O23" s="35">
        <v>10.013999999999999</v>
      </c>
      <c r="P23" s="31">
        <f t="shared" si="2"/>
        <v>32.512987012987011</v>
      </c>
      <c r="Q23" s="35">
        <v>2.1146600000000002</v>
      </c>
      <c r="R23" s="31">
        <f t="shared" si="3"/>
        <v>0.86269136440971905</v>
      </c>
      <c r="S23" s="35">
        <v>4.1391999999999998</v>
      </c>
      <c r="T23" s="31">
        <f t="shared" si="6"/>
        <v>2.2399759627855498</v>
      </c>
      <c r="U23" s="31">
        <f t="shared" si="7"/>
        <v>3.2672972788236078E-17</v>
      </c>
      <c r="V23" s="31">
        <f t="shared" si="8"/>
        <v>-16.485811348940832</v>
      </c>
      <c r="W23" s="31">
        <f t="shared" si="9"/>
        <v>3.463259719295076E-17</v>
      </c>
      <c r="X23" s="31">
        <f t="shared" si="4"/>
        <v>-16.460514938301188</v>
      </c>
      <c r="Y23" s="31">
        <f t="shared" si="5"/>
        <v>-2.5869352485580839</v>
      </c>
    </row>
    <row r="24" spans="1:25" x14ac:dyDescent="0.35">
      <c r="A24" s="35">
        <v>10</v>
      </c>
      <c r="B24" s="32">
        <v>43604</v>
      </c>
      <c r="C24" s="36">
        <v>0.51041666666666663</v>
      </c>
      <c r="D24" s="37">
        <f>D23+24*2-15/60</f>
        <v>146.08333333333334</v>
      </c>
      <c r="E24" s="35">
        <v>6.67</v>
      </c>
      <c r="F24" s="35">
        <v>11.840999999999999</v>
      </c>
      <c r="G24" s="31">
        <f t="shared" si="0"/>
        <v>5.1709999999999994</v>
      </c>
      <c r="H24" s="35">
        <v>8.24</v>
      </c>
      <c r="I24" s="35">
        <v>1.7789999999999999</v>
      </c>
      <c r="J24" s="35">
        <v>3.3000000000000002E-2</v>
      </c>
      <c r="K24" s="35">
        <v>0.50800000000000001</v>
      </c>
      <c r="L24" s="35">
        <v>4.9969999999999999</v>
      </c>
      <c r="M24" s="31">
        <f t="shared" si="1"/>
        <v>10.019080877959395</v>
      </c>
      <c r="N24" s="35">
        <v>0.30199999999999999</v>
      </c>
      <c r="O24" s="35">
        <v>10.029</v>
      </c>
      <c r="P24" s="31">
        <f t="shared" si="2"/>
        <v>33.20860927152318</v>
      </c>
      <c r="Q24" s="35">
        <v>2.1773199999999999</v>
      </c>
      <c r="R24" s="31">
        <f t="shared" si="3"/>
        <v>0.89754145966667553</v>
      </c>
      <c r="S24" s="35">
        <v>4.1525999999999996</v>
      </c>
      <c r="T24" s="31">
        <f t="shared" si="6"/>
        <v>2.295307437765099</v>
      </c>
      <c r="U24" s="31">
        <f t="shared" si="7"/>
        <v>2.8911657137674308E-17</v>
      </c>
      <c r="V24" s="31">
        <f t="shared" si="8"/>
        <v>-16.5389270150356</v>
      </c>
      <c r="W24" s="31">
        <f t="shared" si="9"/>
        <v>3.0651371483719212E-17</v>
      </c>
      <c r="X24" s="31">
        <f t="shared" si="4"/>
        <v>-16.513550088372792</v>
      </c>
      <c r="Y24" s="31">
        <f t="shared" si="5"/>
        <v>-1.6338239191950938</v>
      </c>
    </row>
    <row r="25" spans="1:25" x14ac:dyDescent="0.35">
      <c r="A25" s="35">
        <v>11</v>
      </c>
      <c r="B25" s="32">
        <v>43605</v>
      </c>
      <c r="C25" s="36">
        <v>0.3888888888888889</v>
      </c>
      <c r="D25" s="37">
        <f>D17+6*24+1/6</f>
        <v>167.16666666666666</v>
      </c>
      <c r="E25" s="35">
        <v>6.7489999999999997</v>
      </c>
      <c r="F25" s="35">
        <v>13.407999999999999</v>
      </c>
      <c r="G25" s="31">
        <f t="shared" si="0"/>
        <v>6.6589999999999998</v>
      </c>
      <c r="H25" s="35">
        <v>7.74</v>
      </c>
      <c r="I25" s="35">
        <v>2.7250000000000001</v>
      </c>
      <c r="J25" s="35">
        <v>0.04</v>
      </c>
      <c r="K25" s="35">
        <v>0.505</v>
      </c>
      <c r="L25" s="35">
        <v>4.0220000000000002</v>
      </c>
      <c r="M25" s="31">
        <f t="shared" si="1"/>
        <v>8.0812644200199841</v>
      </c>
      <c r="N25" s="35">
        <v>0.3</v>
      </c>
      <c r="O25" s="35">
        <v>10.010999999999999</v>
      </c>
      <c r="P25" s="31">
        <f t="shared" si="2"/>
        <v>33.369999999999997</v>
      </c>
      <c r="Q25" s="35">
        <v>2.1715599999999999</v>
      </c>
      <c r="R25" s="31">
        <f t="shared" si="3"/>
        <v>0.72203046961277917</v>
      </c>
      <c r="S25" s="35">
        <v>4.1417000000000002</v>
      </c>
      <c r="T25" s="31">
        <f t="shared" si="6"/>
        <v>2.3004082723035952</v>
      </c>
      <c r="U25" s="31">
        <f t="shared" si="7"/>
        <v>4.7854280647535078E-17</v>
      </c>
      <c r="V25" s="31">
        <f t="shared" si="8"/>
        <v>-16.320079207762731</v>
      </c>
      <c r="W25" s="31">
        <f t="shared" si="9"/>
        <v>3.0284354815345505E-17</v>
      </c>
      <c r="X25" s="31">
        <f t="shared" si="4"/>
        <v>-16.5187816742087</v>
      </c>
      <c r="Y25" s="31">
        <f t="shared" si="5"/>
        <v>10.683022336923806</v>
      </c>
    </row>
    <row r="26" spans="1:25" x14ac:dyDescent="0.35">
      <c r="A26" s="31">
        <v>12</v>
      </c>
      <c r="B26" s="32">
        <v>43605</v>
      </c>
      <c r="C26" s="36">
        <v>0.58333333333333337</v>
      </c>
      <c r="D26" s="37">
        <f>D25+4+40/60</f>
        <v>171.83333333333331</v>
      </c>
      <c r="E26" s="35">
        <v>6.6150000000000002</v>
      </c>
      <c r="F26" s="35">
        <v>13.161</v>
      </c>
      <c r="G26" s="31">
        <f t="shared" si="0"/>
        <v>6.5459999999999994</v>
      </c>
      <c r="H26" s="35">
        <v>7.79</v>
      </c>
      <c r="I26" s="35">
        <v>2.5569999999999999</v>
      </c>
      <c r="J26" s="35">
        <v>4.4999999999999998E-2</v>
      </c>
      <c r="K26" s="35">
        <v>0.50900000000000001</v>
      </c>
      <c r="L26" s="35">
        <v>4.9930000000000003</v>
      </c>
      <c r="M26" s="31">
        <f t="shared" si="1"/>
        <v>9.9820639517238785</v>
      </c>
      <c r="N26" s="35">
        <v>0.30099999999999999</v>
      </c>
      <c r="O26" s="35">
        <v>10.013</v>
      </c>
      <c r="P26" s="31">
        <f t="shared" si="2"/>
        <v>33.265780730897013</v>
      </c>
      <c r="Q26" s="35">
        <v>2.2200000000000002</v>
      </c>
      <c r="R26" s="31">
        <f t="shared" si="3"/>
        <v>0.91175404126011161</v>
      </c>
      <c r="S26" s="35">
        <v>4.1615000000000002</v>
      </c>
      <c r="T26" s="31">
        <f t="shared" si="6"/>
        <v>2.3041868593812906</v>
      </c>
      <c r="U26" s="31">
        <f t="shared" si="7"/>
        <v>2.7377715689648962E-17</v>
      </c>
      <c r="V26" s="31">
        <f t="shared" si="8"/>
        <v>-16.562602790853841</v>
      </c>
      <c r="W26" s="31">
        <f t="shared" si="9"/>
        <v>3.0012476864796544E-17</v>
      </c>
      <c r="X26" s="31">
        <f t="shared" si="4"/>
        <v>-16.522698161711929</v>
      </c>
      <c r="Y26" s="31">
        <f t="shared" si="5"/>
        <v>-1.4414410965718758</v>
      </c>
    </row>
    <row r="27" spans="1:25" x14ac:dyDescent="0.35">
      <c r="A27" s="35">
        <v>13</v>
      </c>
      <c r="B27" s="32">
        <v>43605</v>
      </c>
      <c r="C27" s="36">
        <v>0.79166666666666663</v>
      </c>
      <c r="D27" s="37">
        <f>D26+5</f>
        <v>176.83333333333331</v>
      </c>
      <c r="E27" s="35">
        <v>6.6689999999999996</v>
      </c>
      <c r="F27" s="35">
        <v>12.824</v>
      </c>
      <c r="G27" s="31">
        <f t="shared" si="0"/>
        <v>6.1550000000000002</v>
      </c>
      <c r="H27" s="35">
        <v>8.23</v>
      </c>
      <c r="I27" s="35">
        <v>2.8079999999999998</v>
      </c>
      <c r="J27" s="35">
        <v>8.2000000000000003E-2</v>
      </c>
      <c r="K27" s="35">
        <v>0.51200000000000001</v>
      </c>
      <c r="L27" s="35">
        <v>5.0060000000000002</v>
      </c>
      <c r="M27" s="31">
        <f t="shared" si="1"/>
        <v>10.06286447204416</v>
      </c>
      <c r="N27" s="35">
        <v>0.30599999999999999</v>
      </c>
      <c r="O27" s="35">
        <v>9.9849999999999994</v>
      </c>
      <c r="P27" s="31">
        <f t="shared" si="2"/>
        <v>32.630718954248366</v>
      </c>
      <c r="Q27" s="35">
        <v>2.1895099999999998</v>
      </c>
      <c r="R27" s="31">
        <f t="shared" si="3"/>
        <v>0.9065106928691794</v>
      </c>
      <c r="S27" s="35">
        <v>4.2920999999999996</v>
      </c>
      <c r="T27" s="31">
        <f t="shared" si="6"/>
        <v>2.3311303066499565</v>
      </c>
      <c r="U27" s="31">
        <f t="shared" si="7"/>
        <v>2.7943621986855551E-17</v>
      </c>
      <c r="V27" s="31">
        <f t="shared" si="8"/>
        <v>-16.55371730233939</v>
      </c>
      <c r="W27" s="31">
        <f t="shared" si="9"/>
        <v>2.8073834437480378E-17</v>
      </c>
      <c r="X27" s="31">
        <f t="shared" si="4"/>
        <v>-16.551698265623177</v>
      </c>
      <c r="Y27" s="31">
        <f t="shared" si="5"/>
        <v>-1.3214910889964355</v>
      </c>
    </row>
    <row r="28" spans="1:25" x14ac:dyDescent="0.35">
      <c r="A28" s="35">
        <v>14</v>
      </c>
      <c r="B28" s="32">
        <v>43606</v>
      </c>
      <c r="C28" s="36">
        <v>0.38194444444444442</v>
      </c>
      <c r="D28" s="37">
        <f>D25+24-10/60</f>
        <v>191</v>
      </c>
      <c r="E28" s="35">
        <v>6.6630000000000003</v>
      </c>
      <c r="F28" s="35">
        <v>13.209</v>
      </c>
      <c r="G28" s="31">
        <f t="shared" si="0"/>
        <v>6.5459999999999994</v>
      </c>
      <c r="H28" s="35">
        <v>8.23</v>
      </c>
      <c r="I28" s="35">
        <v>2.9580000000000002</v>
      </c>
      <c r="J28" s="35">
        <v>5.0999999999999997E-2</v>
      </c>
      <c r="K28" s="35">
        <v>0.51</v>
      </c>
      <c r="L28" s="35">
        <v>4.9960000000000004</v>
      </c>
      <c r="M28" s="31">
        <f t="shared" si="1"/>
        <v>9.9649763353617331</v>
      </c>
      <c r="N28" s="35">
        <v>0.30199999999999999</v>
      </c>
      <c r="O28" s="35">
        <v>9.9320000000000004</v>
      </c>
      <c r="P28" s="31">
        <f t="shared" si="2"/>
        <v>32.88741721854305</v>
      </c>
      <c r="Q28" s="35">
        <v>2.2034199999999999</v>
      </c>
      <c r="R28" s="31">
        <f t="shared" si="3"/>
        <v>0.90339552177999383</v>
      </c>
      <c r="S28" s="35">
        <v>4.2019000000000002</v>
      </c>
      <c r="T28" s="31">
        <f t="shared" si="6"/>
        <v>2.3000938483787623</v>
      </c>
      <c r="U28" s="31">
        <f t="shared" si="7"/>
        <v>2.8279837474518886E-17</v>
      </c>
      <c r="V28" s="31">
        <f t="shared" si="8"/>
        <v>-16.548523090777628</v>
      </c>
      <c r="W28" s="31">
        <f t="shared" si="9"/>
        <v>3.0306978333218555E-17</v>
      </c>
      <c r="X28" s="31">
        <f t="shared" si="4"/>
        <v>-16.518457361508535</v>
      </c>
      <c r="Y28" s="31">
        <f t="shared" si="5"/>
        <v>-1.5432805607056763</v>
      </c>
    </row>
    <row r="29" spans="1:25" x14ac:dyDescent="0.35">
      <c r="A29" s="31">
        <v>15</v>
      </c>
      <c r="B29" s="32">
        <v>43606</v>
      </c>
      <c r="C29" s="36">
        <v>0.58333333333333337</v>
      </c>
      <c r="D29" s="37">
        <f>D28+4+50/60</f>
        <v>195.83333333333334</v>
      </c>
      <c r="E29" s="35">
        <v>6.6680000000000001</v>
      </c>
      <c r="F29" s="35">
        <v>13.223000000000001</v>
      </c>
      <c r="G29" s="31">
        <f t="shared" si="0"/>
        <v>6.5550000000000006</v>
      </c>
      <c r="H29" s="35">
        <v>8.48</v>
      </c>
      <c r="I29" s="35">
        <v>2.6930000000000001</v>
      </c>
      <c r="J29" s="35">
        <v>5.5E-2</v>
      </c>
      <c r="K29" s="35">
        <v>0.51</v>
      </c>
      <c r="L29" s="35">
        <v>5.0190000000000001</v>
      </c>
      <c r="M29" s="31">
        <f t="shared" si="1"/>
        <v>10.042165964046221</v>
      </c>
      <c r="N29" s="35">
        <v>0.30299999999999999</v>
      </c>
      <c r="O29" s="35">
        <v>9.8889999999999993</v>
      </c>
      <c r="P29" s="31">
        <f t="shared" si="2"/>
        <v>32.636963696369634</v>
      </c>
      <c r="Q29" s="35">
        <v>2.21746</v>
      </c>
      <c r="R29" s="31">
        <f t="shared" si="3"/>
        <v>0.91619425380102593</v>
      </c>
      <c r="S29" s="35">
        <v>4.2628000000000004</v>
      </c>
      <c r="T29" s="31">
        <f t="shared" si="6"/>
        <v>2.3156599341691826</v>
      </c>
      <c r="U29" s="31">
        <f t="shared" si="7"/>
        <v>2.6898490574227563E-17</v>
      </c>
      <c r="V29" s="31">
        <f t="shared" si="8"/>
        <v>-16.570272090022737</v>
      </c>
      <c r="W29" s="31">
        <f t="shared" si="9"/>
        <v>2.918696298998344E-17</v>
      </c>
      <c r="X29" s="31">
        <f t="shared" si="4"/>
        <v>-16.534811092586853</v>
      </c>
      <c r="Y29" s="31">
        <f t="shared" si="5"/>
        <v>-1.3370993092502699</v>
      </c>
    </row>
    <row r="32" spans="1:25" ht="15" thickBot="1" x14ac:dyDescent="0.4"/>
    <row r="33" spans="1:17" x14ac:dyDescent="0.35">
      <c r="A33" s="11" t="s">
        <v>8</v>
      </c>
      <c r="B33" s="12"/>
      <c r="C33" s="12"/>
      <c r="D33" s="12"/>
      <c r="E33" s="13" t="s">
        <v>9</v>
      </c>
      <c r="F33" s="14"/>
      <c r="G33" s="14"/>
      <c r="H33" s="15" t="s">
        <v>10</v>
      </c>
      <c r="I33" s="15"/>
      <c r="J33" s="15"/>
      <c r="K33" s="16" t="s">
        <v>10</v>
      </c>
      <c r="L33" s="16"/>
      <c r="M33" s="16"/>
      <c r="N33" s="17" t="s">
        <v>11</v>
      </c>
      <c r="O33" s="18"/>
      <c r="P33" s="18"/>
      <c r="Q33" s="40"/>
    </row>
    <row r="34" spans="1:17" ht="15" thickBot="1" x14ac:dyDescent="0.4">
      <c r="A34" s="22" t="s">
        <v>13</v>
      </c>
      <c r="B34" s="23" t="s">
        <v>14</v>
      </c>
      <c r="C34" s="23" t="s">
        <v>15</v>
      </c>
      <c r="D34" s="23" t="s">
        <v>16</v>
      </c>
      <c r="E34" s="24" t="s">
        <v>20</v>
      </c>
      <c r="F34" s="24" t="s">
        <v>21</v>
      </c>
      <c r="G34" s="24" t="s">
        <v>22</v>
      </c>
      <c r="H34" s="25" t="s">
        <v>21</v>
      </c>
      <c r="I34" s="25" t="s">
        <v>23</v>
      </c>
      <c r="J34" s="25" t="s">
        <v>24</v>
      </c>
      <c r="K34" s="26" t="s">
        <v>25</v>
      </c>
      <c r="L34" s="26" t="s">
        <v>26</v>
      </c>
      <c r="M34" s="26" t="s">
        <v>27</v>
      </c>
      <c r="N34" s="27" t="s">
        <v>28</v>
      </c>
      <c r="O34" s="27" t="s">
        <v>29</v>
      </c>
      <c r="P34" s="27" t="s">
        <v>30</v>
      </c>
      <c r="Q34" s="41" t="s">
        <v>31</v>
      </c>
    </row>
    <row r="35" spans="1:17" x14ac:dyDescent="0.35">
      <c r="A35" s="31">
        <v>1</v>
      </c>
      <c r="B35" s="32">
        <v>43598</v>
      </c>
      <c r="C35" s="33">
        <v>0.46527777777777773</v>
      </c>
      <c r="D35" s="34">
        <v>0</v>
      </c>
      <c r="E35" s="31">
        <v>9.35</v>
      </c>
      <c r="F35" s="31">
        <v>5.5890000000000004</v>
      </c>
      <c r="G35" s="31">
        <v>8.4000000000000005E-2</v>
      </c>
      <c r="H35" s="31">
        <v>0.50900000000000001</v>
      </c>
      <c r="I35" s="31">
        <v>4.9950000000000001</v>
      </c>
      <c r="J35" s="31">
        <f>((F35+G35)/F35)*(I35/H35)</f>
        <v>9.9608496341220327</v>
      </c>
      <c r="K35" s="31">
        <v>0.30499999999999999</v>
      </c>
      <c r="L35" s="31">
        <v>10.031000000000001</v>
      </c>
      <c r="M35" s="31">
        <f>L35/K35</f>
        <v>32.888524590163939</v>
      </c>
      <c r="N35" s="31">
        <v>1.81759</v>
      </c>
      <c r="O35" s="31">
        <f>N35/24.305*J35</f>
        <v>0.74489778590758549</v>
      </c>
      <c r="P35" s="31">
        <v>4.6486000000000001</v>
      </c>
      <c r="Q35" s="31">
        <f>P35/60.08*M35</f>
        <v>2.5447003230665128</v>
      </c>
    </row>
    <row r="36" spans="1:17" x14ac:dyDescent="0.35">
      <c r="A36" s="35">
        <v>2</v>
      </c>
      <c r="B36" s="38">
        <v>43599</v>
      </c>
      <c r="C36" s="36">
        <v>0.40972222222222227</v>
      </c>
      <c r="D36" s="37">
        <f>24-20/60</f>
        <v>23.666666666666668</v>
      </c>
      <c r="E36" s="35">
        <v>9.36</v>
      </c>
      <c r="F36" s="35">
        <v>2.6920000000000002</v>
      </c>
      <c r="G36" s="35">
        <v>5.6000000000000001E-2</v>
      </c>
      <c r="H36" s="35">
        <v>0.51</v>
      </c>
      <c r="I36" s="35">
        <v>5.016</v>
      </c>
      <c r="J36" s="31">
        <f t="shared" ref="J36:J40" si="10">((F36+G36)/F36)*(I36/H36)</f>
        <v>10.039891617865571</v>
      </c>
      <c r="K36" s="35">
        <v>0.308</v>
      </c>
      <c r="L36" s="35">
        <v>10.022</v>
      </c>
      <c r="M36" s="31">
        <f t="shared" ref="M36:M41" si="11">L36/K36</f>
        <v>32.538961038961041</v>
      </c>
      <c r="N36" s="35">
        <v>2.7008299999999998</v>
      </c>
      <c r="O36" s="31">
        <f t="shared" ref="O36:O41" si="12">N36/24.305*J36</f>
        <v>1.1156568804064952</v>
      </c>
      <c r="P36" s="35">
        <v>4.6163999999999996</v>
      </c>
      <c r="Q36" s="31">
        <f t="shared" ref="Q36:Q41" si="13">P36/60.08*M36</f>
        <v>2.500214043612845</v>
      </c>
    </row>
    <row r="37" spans="1:17" x14ac:dyDescent="0.35">
      <c r="A37" s="31">
        <v>3</v>
      </c>
      <c r="B37" s="32">
        <v>43600</v>
      </c>
      <c r="C37" s="33">
        <v>0.49305555555555558</v>
      </c>
      <c r="D37" s="34">
        <f>D36+26</f>
        <v>49.666666666666671</v>
      </c>
      <c r="E37" s="31">
        <v>9.4700000000000006</v>
      </c>
      <c r="F37" s="31">
        <v>2.8839999999999999</v>
      </c>
      <c r="G37" s="31">
        <v>0.06</v>
      </c>
      <c r="H37" s="31">
        <v>0.52600000000000002</v>
      </c>
      <c r="I37" s="31">
        <v>5.0010000000000003</v>
      </c>
      <c r="J37" s="31">
        <f t="shared" si="10"/>
        <v>9.7054049350553466</v>
      </c>
      <c r="K37" s="31">
        <v>0.31</v>
      </c>
      <c r="L37" s="31">
        <v>10.069000000000001</v>
      </c>
      <c r="M37" s="31">
        <f t="shared" si="11"/>
        <v>32.480645161290326</v>
      </c>
      <c r="N37" s="35">
        <v>9.1522000000000006E-2</v>
      </c>
      <c r="O37" s="31">
        <f t="shared" si="12"/>
        <v>3.6546310243412282E-2</v>
      </c>
      <c r="P37" s="35">
        <v>4.6614000000000004</v>
      </c>
      <c r="Q37" s="31">
        <f t="shared" si="13"/>
        <v>2.5200612409260779</v>
      </c>
    </row>
    <row r="38" spans="1:17" x14ac:dyDescent="0.35">
      <c r="A38" s="35">
        <v>4</v>
      </c>
      <c r="B38" s="38">
        <v>43601</v>
      </c>
      <c r="C38" s="36">
        <v>0.6875</v>
      </c>
      <c r="D38" s="37">
        <f>D37+24+6-20/60</f>
        <v>79.333333333333343</v>
      </c>
      <c r="E38" s="35">
        <v>8.94</v>
      </c>
      <c r="F38" s="35">
        <v>4.63</v>
      </c>
      <c r="G38" s="35">
        <v>0.56000000000000005</v>
      </c>
      <c r="H38" s="35">
        <v>0.50900000000000001</v>
      </c>
      <c r="I38" s="35">
        <v>5.0250000000000004</v>
      </c>
      <c r="J38" s="31">
        <f t="shared" si="10"/>
        <v>11.066356341787351</v>
      </c>
      <c r="K38" s="35">
        <v>0.308</v>
      </c>
      <c r="L38" s="35">
        <v>10.013</v>
      </c>
      <c r="M38" s="31">
        <f t="shared" si="11"/>
        <v>32.509740259740262</v>
      </c>
      <c r="N38" s="35">
        <v>2.80748</v>
      </c>
      <c r="O38" s="31">
        <f t="shared" si="12"/>
        <v>1.2782791237375499</v>
      </c>
      <c r="P38" s="35">
        <v>4.7907000000000002</v>
      </c>
      <c r="Q38" s="31">
        <f t="shared" si="13"/>
        <v>2.5922838325955007</v>
      </c>
    </row>
    <row r="39" spans="1:17" x14ac:dyDescent="0.35">
      <c r="A39" s="31">
        <v>5</v>
      </c>
      <c r="B39" s="32">
        <v>43602</v>
      </c>
      <c r="C39" s="33">
        <v>0.66666666666666663</v>
      </c>
      <c r="D39" s="34">
        <f>D38+24-0.5</f>
        <v>102.83333333333334</v>
      </c>
      <c r="E39" s="31">
        <v>9.3699999999999992</v>
      </c>
      <c r="F39" s="31">
        <v>3.4460000000000002</v>
      </c>
      <c r="G39" s="31">
        <v>6.6000000000000003E-2</v>
      </c>
      <c r="H39" s="31">
        <v>0.51100000000000001</v>
      </c>
      <c r="I39" s="31">
        <v>5.0149999999999997</v>
      </c>
      <c r="J39" s="31">
        <f t="shared" si="10"/>
        <v>10.002055759932672</v>
      </c>
      <c r="K39" s="31">
        <v>0.30499999999999999</v>
      </c>
      <c r="L39" s="35">
        <v>10.039999999999999</v>
      </c>
      <c r="M39" s="31">
        <f t="shared" si="11"/>
        <v>32.918032786885242</v>
      </c>
      <c r="N39" s="35">
        <v>2.8319700000000001</v>
      </c>
      <c r="O39" s="31">
        <f t="shared" si="12"/>
        <v>1.1654195371510607</v>
      </c>
      <c r="P39" s="35">
        <v>4.7492999999999999</v>
      </c>
      <c r="Q39" s="31">
        <f t="shared" si="13"/>
        <v>2.6021573421230704</v>
      </c>
    </row>
    <row r="40" spans="1:17" x14ac:dyDescent="0.35">
      <c r="A40" s="35">
        <v>6</v>
      </c>
      <c r="B40" s="32">
        <v>43604</v>
      </c>
      <c r="C40" s="33">
        <v>0.6875</v>
      </c>
      <c r="D40" s="34">
        <f>D38+3*24</f>
        <v>151.33333333333334</v>
      </c>
      <c r="E40" s="31">
        <v>9.4700000000000006</v>
      </c>
      <c r="F40" s="31">
        <v>4.1059999999999999</v>
      </c>
      <c r="G40" s="31">
        <v>5.3999999999999999E-2</v>
      </c>
      <c r="H40" s="31">
        <v>0.51</v>
      </c>
      <c r="I40" s="31">
        <v>5.0019999999999998</v>
      </c>
      <c r="J40" s="31">
        <f t="shared" si="10"/>
        <v>9.9368308453434953</v>
      </c>
      <c r="K40" s="31">
        <v>0.3</v>
      </c>
      <c r="L40" s="35">
        <v>10.012</v>
      </c>
      <c r="M40" s="31">
        <f t="shared" si="11"/>
        <v>33.373333333333335</v>
      </c>
      <c r="N40" s="35">
        <v>2.8203999999999998</v>
      </c>
      <c r="O40" s="31">
        <f t="shared" si="12"/>
        <v>1.1530893937957947</v>
      </c>
      <c r="P40" s="35">
        <v>4.8780000000000001</v>
      </c>
      <c r="Q40" s="31">
        <f t="shared" si="13"/>
        <v>2.7096391478029296</v>
      </c>
    </row>
    <row r="41" spans="1:17" x14ac:dyDescent="0.35">
      <c r="A41" s="31">
        <v>7</v>
      </c>
      <c r="B41" s="32">
        <v>43606</v>
      </c>
      <c r="C41" s="33">
        <v>0.66666666666666663</v>
      </c>
      <c r="D41" s="34">
        <f>D39+4*24</f>
        <v>198.83333333333334</v>
      </c>
      <c r="E41" s="31">
        <v>9.35</v>
      </c>
      <c r="F41" s="31">
        <v>4.72</v>
      </c>
      <c r="G41" s="31">
        <v>8.4000000000000005E-2</v>
      </c>
      <c r="H41" s="31">
        <v>0.50600000000000001</v>
      </c>
      <c r="I41" s="31">
        <v>4.9939999999999998</v>
      </c>
      <c r="J41" s="31">
        <f>((F41+G41)/F41)*(I41/H41)</f>
        <v>10.045210022107591</v>
      </c>
      <c r="K41" s="31">
        <v>0.30299999999999999</v>
      </c>
      <c r="L41" s="35">
        <v>9.8940000000000001</v>
      </c>
      <c r="M41" s="35">
        <f t="shared" si="11"/>
        <v>32.653465346534652</v>
      </c>
      <c r="N41" s="35">
        <v>2.9308800000000002</v>
      </c>
      <c r="O41" s="31">
        <f t="shared" si="12"/>
        <v>1.2113270993455956</v>
      </c>
      <c r="P41" s="35">
        <v>5.0069999999999997</v>
      </c>
      <c r="Q41" s="31">
        <f t="shared" si="13"/>
        <v>2.7213032787965878</v>
      </c>
    </row>
    <row r="45" spans="1:17" ht="18.5" x14ac:dyDescent="0.45">
      <c r="A45" s="1" t="s">
        <v>44</v>
      </c>
    </row>
    <row r="46" spans="1:17" x14ac:dyDescent="0.35">
      <c r="A46" s="2" t="s">
        <v>0</v>
      </c>
      <c r="C46" s="3"/>
    </row>
    <row r="47" spans="1:17" x14ac:dyDescent="0.35">
      <c r="A47" s="2" t="s">
        <v>1</v>
      </c>
    </row>
    <row r="48" spans="1:17" x14ac:dyDescent="0.35">
      <c r="A48" s="2" t="s">
        <v>2</v>
      </c>
    </row>
    <row r="49" spans="1:25" x14ac:dyDescent="0.35">
      <c r="A49" s="2" t="s">
        <v>3</v>
      </c>
      <c r="C49">
        <f>9.097+1.087-9.203</f>
        <v>0.98099999999999987</v>
      </c>
    </row>
    <row r="50" spans="1:25" x14ac:dyDescent="0.35">
      <c r="A50" s="2" t="s">
        <v>4</v>
      </c>
      <c r="C50">
        <f>AVERAGE(G69:G73)/(120*60)</f>
        <v>9.3614583333333343E-4</v>
      </c>
    </row>
    <row r="51" spans="1:25" ht="15" thickBot="1" x14ac:dyDescent="0.4">
      <c r="A51" s="2" t="s">
        <v>5</v>
      </c>
      <c r="C51">
        <v>2414000</v>
      </c>
    </row>
    <row r="52" spans="1:25" x14ac:dyDescent="0.35">
      <c r="A52" s="4" t="s">
        <v>6</v>
      </c>
      <c r="B52" s="5"/>
      <c r="C52" s="6">
        <f>AVERAGE(V67:V72)</f>
        <v>-16.598121007889024</v>
      </c>
    </row>
    <row r="53" spans="1:25" ht="15" thickBot="1" x14ac:dyDescent="0.4">
      <c r="A53" s="7" t="s">
        <v>7</v>
      </c>
      <c r="B53" s="8"/>
      <c r="C53" s="9">
        <f>AVERAGE(X67:X72)</f>
        <v>-16.562878716332222</v>
      </c>
    </row>
    <row r="54" spans="1:25" x14ac:dyDescent="0.35">
      <c r="A54" s="2"/>
    </row>
    <row r="55" spans="1:25" ht="15" thickBot="1" x14ac:dyDescent="0.4"/>
    <row r="56" spans="1:25" x14ac:dyDescent="0.35">
      <c r="A56" s="11" t="s">
        <v>8</v>
      </c>
      <c r="B56" s="12"/>
      <c r="C56" s="12"/>
      <c r="D56" s="12"/>
      <c r="E56" s="13" t="s">
        <v>9</v>
      </c>
      <c r="F56" s="13"/>
      <c r="G56" s="13"/>
      <c r="H56" s="14"/>
      <c r="I56" s="14"/>
      <c r="J56" s="14"/>
      <c r="K56" s="15" t="s">
        <v>10</v>
      </c>
      <c r="L56" s="15"/>
      <c r="M56" s="15"/>
      <c r="N56" s="16" t="s">
        <v>10</v>
      </c>
      <c r="O56" s="16"/>
      <c r="P56" s="16"/>
      <c r="Q56" s="17" t="s">
        <v>11</v>
      </c>
      <c r="R56" s="18"/>
      <c r="S56" s="18"/>
      <c r="T56" s="18"/>
      <c r="U56" s="19" t="s">
        <v>12</v>
      </c>
      <c r="V56" s="20"/>
      <c r="W56" s="20"/>
      <c r="X56" s="20"/>
      <c r="Y56" s="21"/>
    </row>
    <row r="57" spans="1:25" ht="15" thickBot="1" x14ac:dyDescent="0.4">
      <c r="A57" s="22" t="s">
        <v>13</v>
      </c>
      <c r="B57" s="23" t="s">
        <v>14</v>
      </c>
      <c r="C57" s="23" t="s">
        <v>15</v>
      </c>
      <c r="D57" s="23" t="s">
        <v>16</v>
      </c>
      <c r="E57" s="24" t="s">
        <v>17</v>
      </c>
      <c r="F57" s="24" t="s">
        <v>18</v>
      </c>
      <c r="G57" s="24" t="s">
        <v>19</v>
      </c>
      <c r="H57" s="24" t="s">
        <v>20</v>
      </c>
      <c r="I57" s="24" t="s">
        <v>21</v>
      </c>
      <c r="J57" s="24" t="s">
        <v>22</v>
      </c>
      <c r="K57" s="25" t="s">
        <v>21</v>
      </c>
      <c r="L57" s="25" t="s">
        <v>23</v>
      </c>
      <c r="M57" s="25" t="s">
        <v>24</v>
      </c>
      <c r="N57" s="26" t="s">
        <v>25</v>
      </c>
      <c r="O57" s="26" t="s">
        <v>26</v>
      </c>
      <c r="P57" s="26" t="s">
        <v>27</v>
      </c>
      <c r="Q57" s="27" t="s">
        <v>28</v>
      </c>
      <c r="R57" s="27" t="s">
        <v>29</v>
      </c>
      <c r="S57" s="27" t="s">
        <v>30</v>
      </c>
      <c r="T57" s="27" t="s">
        <v>31</v>
      </c>
      <c r="U57" s="29" t="s">
        <v>32</v>
      </c>
      <c r="V57" s="29" t="s">
        <v>33</v>
      </c>
      <c r="W57" s="29" t="s">
        <v>34</v>
      </c>
      <c r="X57" s="29" t="s">
        <v>35</v>
      </c>
      <c r="Y57" s="30" t="s">
        <v>36</v>
      </c>
    </row>
    <row r="58" spans="1:25" x14ac:dyDescent="0.35">
      <c r="A58" s="35">
        <v>1</v>
      </c>
      <c r="B58" s="38">
        <v>43598</v>
      </c>
      <c r="C58" s="33">
        <v>0.46527777777777773</v>
      </c>
      <c r="D58" s="37">
        <v>1</v>
      </c>
      <c r="E58" s="35">
        <v>6.6870000000000003</v>
      </c>
      <c r="F58" s="35">
        <v>15.52</v>
      </c>
      <c r="G58" s="31">
        <f t="shared" ref="G58:G72" si="14">F58-E58</f>
        <v>8.8329999999999984</v>
      </c>
      <c r="H58" s="35">
        <v>8.89</v>
      </c>
      <c r="I58" s="35">
        <v>2.8479999999999999</v>
      </c>
      <c r="J58" s="35">
        <v>4.2999999999999997E-2</v>
      </c>
      <c r="K58" s="35">
        <v>0.51400000000000001</v>
      </c>
      <c r="L58" s="35">
        <v>4.9969999999999999</v>
      </c>
      <c r="M58" s="31">
        <f t="shared" ref="M58:M72" si="15">((I58+J58)/I58)*(L58/K58)</f>
        <v>9.8685725254667069</v>
      </c>
      <c r="N58" s="35">
        <v>0.30399999999999999</v>
      </c>
      <c r="O58" s="35">
        <v>10.018000000000001</v>
      </c>
      <c r="P58" s="31">
        <f t="shared" ref="P58:P72" si="16">O58/N58</f>
        <v>32.953947368421055</v>
      </c>
      <c r="Q58" s="31">
        <v>2.3039000000000001</v>
      </c>
      <c r="R58" s="31">
        <f t="shared" ref="R58:R72" si="17">Q58/24.305*M58</f>
        <v>0.93545378487647601</v>
      </c>
      <c r="S58" s="31">
        <v>4.5753000000000004</v>
      </c>
      <c r="T58" s="31">
        <f>S58/60.08*P58</f>
        <v>2.5095571803384966</v>
      </c>
      <c r="U58" s="31">
        <f>((($O$39-R58)*10^(-6))*$C$50)/($C$51*$C$49*4)</f>
        <v>2.2726910808385216E-17</v>
      </c>
      <c r="V58" s="31">
        <f>LOG(U58)</f>
        <v>-16.643459592433786</v>
      </c>
      <c r="W58" s="31">
        <f>((($Q$41-T58)*10^(-6))*$C$50)/($C$51*$C$49*6)</f>
        <v>1.3950873542638208E-17</v>
      </c>
      <c r="X58" s="31">
        <f t="shared" ref="X58:X72" si="18">LOG(W58)</f>
        <v>-16.855398597919429</v>
      </c>
      <c r="Y58" s="31">
        <f t="shared" ref="Y58:Y72" si="19">($Q$35-T58)/($O$35-R58)</f>
        <v>-0.18442422656950075</v>
      </c>
    </row>
    <row r="59" spans="1:25" x14ac:dyDescent="0.35">
      <c r="A59" s="35">
        <v>2</v>
      </c>
      <c r="B59" s="32">
        <v>43598</v>
      </c>
      <c r="C59" s="33">
        <v>0.75694444444444453</v>
      </c>
      <c r="D59" s="37">
        <f>D58+7</f>
        <v>8</v>
      </c>
      <c r="E59" s="35">
        <v>6.6849999999999996</v>
      </c>
      <c r="F59" s="35">
        <v>13.645</v>
      </c>
      <c r="G59" s="31">
        <f t="shared" si="14"/>
        <v>6.96</v>
      </c>
      <c r="H59" s="35">
        <v>8.49</v>
      </c>
      <c r="I59" s="35">
        <v>2.5329999999999999</v>
      </c>
      <c r="J59" s="35">
        <v>0.05</v>
      </c>
      <c r="K59" s="35">
        <v>0.51700000000000002</v>
      </c>
      <c r="L59" s="35">
        <v>4.9969999999999999</v>
      </c>
      <c r="M59" s="31">
        <f t="shared" si="15"/>
        <v>9.8561663030588118</v>
      </c>
      <c r="N59" s="35">
        <v>0.309</v>
      </c>
      <c r="O59" s="35">
        <v>10.036</v>
      </c>
      <c r="P59" s="31">
        <f t="shared" si="16"/>
        <v>32.478964401294498</v>
      </c>
      <c r="Q59" s="35">
        <v>2.26335</v>
      </c>
      <c r="R59" s="31">
        <f t="shared" si="17"/>
        <v>0.91783394371644356</v>
      </c>
      <c r="S59" s="35">
        <v>4.3796999999999997</v>
      </c>
      <c r="T59" s="31">
        <f t="shared" ref="T59:T72" si="20">S59/60.08*P59</f>
        <v>2.367645146277455</v>
      </c>
      <c r="U59" s="31">
        <f t="shared" ref="U59:U72" si="21">((($O$39-R59)*10^(-6))*$C$50)/($C$51*$C$49*4)</f>
        <v>2.4468233394645067E-17</v>
      </c>
      <c r="V59" s="31">
        <f t="shared" ref="V59:V72" si="22">LOG(U59)</f>
        <v>-16.611397385558451</v>
      </c>
      <c r="W59" s="31">
        <f t="shared" ref="W59:W72" si="23">((($Q$41-T59)*10^(-6))*$C$50)/($C$51*$C$49*6)</f>
        <v>2.3300735739773318E-17</v>
      </c>
      <c r="X59" s="31">
        <f t="shared" si="18"/>
        <v>-16.632630365554284</v>
      </c>
      <c r="Y59" s="31">
        <f t="shared" si="19"/>
        <v>-1.0238181478783193</v>
      </c>
    </row>
    <row r="60" spans="1:25" x14ac:dyDescent="0.35">
      <c r="A60" s="31">
        <v>3</v>
      </c>
      <c r="B60" s="38">
        <v>43599</v>
      </c>
      <c r="C60" s="36">
        <v>0.38194444444444442</v>
      </c>
      <c r="D60" s="37">
        <v>23</v>
      </c>
      <c r="E60" s="35">
        <v>6.6319999999999997</v>
      </c>
      <c r="F60" s="35">
        <v>13.11</v>
      </c>
      <c r="G60" s="31">
        <f t="shared" si="14"/>
        <v>6.4779999999999998</v>
      </c>
      <c r="H60" s="35">
        <v>8.4</v>
      </c>
      <c r="I60" s="35">
        <v>2.89</v>
      </c>
      <c r="J60" s="35">
        <v>5.0999999999999997E-2</v>
      </c>
      <c r="K60" s="35">
        <v>0.51</v>
      </c>
      <c r="L60" s="35">
        <v>4.9889999999999999</v>
      </c>
      <c r="M60" s="31">
        <f t="shared" si="15"/>
        <v>9.9549826989619383</v>
      </c>
      <c r="N60" s="35">
        <v>0.30499999999999999</v>
      </c>
      <c r="O60" s="35">
        <v>10.010999999999999</v>
      </c>
      <c r="P60" s="31">
        <f t="shared" si="16"/>
        <v>32.82295081967213</v>
      </c>
      <c r="Q60" s="35">
        <v>2.1522199999999998</v>
      </c>
      <c r="R60" s="31">
        <f t="shared" si="17"/>
        <v>0.88151873541904391</v>
      </c>
      <c r="S60" s="35">
        <v>4.2026000000000003</v>
      </c>
      <c r="T60" s="31">
        <f t="shared" si="20"/>
        <v>2.2959675951190768</v>
      </c>
      <c r="U60" s="31">
        <f t="shared" si="21"/>
        <v>2.8057169972372807E-17</v>
      </c>
      <c r="V60" s="31">
        <f t="shared" si="22"/>
        <v>-16.551956136848847</v>
      </c>
      <c r="W60" s="31">
        <f t="shared" si="23"/>
        <v>2.8023205052493282E-17</v>
      </c>
      <c r="X60" s="31">
        <f t="shared" si="18"/>
        <v>-16.552482195352521</v>
      </c>
      <c r="Y60" s="31">
        <f t="shared" si="19"/>
        <v>-1.820604591293481</v>
      </c>
    </row>
    <row r="61" spans="1:25" x14ac:dyDescent="0.35">
      <c r="A61" s="35">
        <v>4</v>
      </c>
      <c r="B61" s="32">
        <v>43599</v>
      </c>
      <c r="C61" s="36">
        <v>0.59027777777777779</v>
      </c>
      <c r="D61" s="37">
        <f>D60+5</f>
        <v>28</v>
      </c>
      <c r="E61" s="35">
        <v>6.6630000000000003</v>
      </c>
      <c r="F61" s="35">
        <v>13.369</v>
      </c>
      <c r="G61" s="31">
        <f t="shared" si="14"/>
        <v>6.7059999999999995</v>
      </c>
      <c r="H61" s="35">
        <v>8.33</v>
      </c>
      <c r="I61" s="35">
        <v>2.8730000000000002</v>
      </c>
      <c r="J61" s="35">
        <v>5.8999999999999997E-2</v>
      </c>
      <c r="K61" s="35">
        <v>0.51300000000000001</v>
      </c>
      <c r="L61" s="35">
        <v>4.9930000000000003</v>
      </c>
      <c r="M61" s="31">
        <f t="shared" si="15"/>
        <v>9.9328194407975321</v>
      </c>
      <c r="N61" s="35">
        <v>0.309</v>
      </c>
      <c r="O61" s="35">
        <v>9.9740000000000002</v>
      </c>
      <c r="P61" s="31">
        <f t="shared" si="16"/>
        <v>32.278317152103561</v>
      </c>
      <c r="Q61" s="35">
        <v>2.10846</v>
      </c>
      <c r="R61" s="31">
        <f t="shared" si="17"/>
        <v>0.86167259733157642</v>
      </c>
      <c r="S61" s="35">
        <v>4.2625000000000002</v>
      </c>
      <c r="T61" s="31">
        <f t="shared" si="20"/>
        <v>2.2900520449540851</v>
      </c>
      <c r="U61" s="31">
        <f t="shared" si="21"/>
        <v>3.00185116319179E-17</v>
      </c>
      <c r="V61" s="31">
        <f t="shared" si="22"/>
        <v>-16.522610844606717</v>
      </c>
      <c r="W61" s="31">
        <f t="shared" si="23"/>
        <v>2.8412950567937883E-17</v>
      </c>
      <c r="X61" s="31">
        <f t="shared" si="18"/>
        <v>-16.546483664241276</v>
      </c>
      <c r="Y61" s="31">
        <f t="shared" si="19"/>
        <v>-2.1806781360394578</v>
      </c>
    </row>
    <row r="62" spans="1:25" x14ac:dyDescent="0.35">
      <c r="A62" s="35">
        <v>5</v>
      </c>
      <c r="B62" s="32">
        <v>43599</v>
      </c>
      <c r="C62" s="36">
        <v>0.79861111111111116</v>
      </c>
      <c r="D62" s="37">
        <f>D61+5</f>
        <v>33</v>
      </c>
      <c r="E62" s="35">
        <v>6.6929999999999996</v>
      </c>
      <c r="F62" s="35">
        <v>13.228</v>
      </c>
      <c r="G62" s="31">
        <f t="shared" si="14"/>
        <v>6.5350000000000001</v>
      </c>
      <c r="H62" s="35">
        <v>8.34</v>
      </c>
      <c r="I62" s="35">
        <v>2.246</v>
      </c>
      <c r="J62" s="35">
        <v>5.3999999999999999E-2</v>
      </c>
      <c r="K62" s="35">
        <v>0.51600000000000001</v>
      </c>
      <c r="L62" s="35">
        <v>4.992</v>
      </c>
      <c r="M62" s="31">
        <f t="shared" si="15"/>
        <v>9.9070181614860502</v>
      </c>
      <c r="N62" s="35">
        <v>0.307</v>
      </c>
      <c r="O62" s="35">
        <v>10</v>
      </c>
      <c r="P62" s="31">
        <f t="shared" si="16"/>
        <v>32.573289902280131</v>
      </c>
      <c r="Q62" s="35">
        <v>2.1553900000000001</v>
      </c>
      <c r="R62" s="31">
        <f t="shared" si="17"/>
        <v>0.87856358259968814</v>
      </c>
      <c r="S62" s="35">
        <v>4.1867000000000001</v>
      </c>
      <c r="T62" s="31">
        <f t="shared" si="20"/>
        <v>2.2698833694053966</v>
      </c>
      <c r="U62" s="31">
        <f t="shared" si="21"/>
        <v>2.834921995758301E-17</v>
      </c>
      <c r="V62" s="31">
        <f t="shared" si="22"/>
        <v>-16.547458886428146</v>
      </c>
      <c r="W62" s="31">
        <f t="shared" si="23"/>
        <v>2.9741762027280742E-17</v>
      </c>
      <c r="X62" s="31">
        <f t="shared" si="18"/>
        <v>-16.526633305617139</v>
      </c>
      <c r="Y62" s="31">
        <f t="shared" si="19"/>
        <v>-2.0560005660547054</v>
      </c>
    </row>
    <row r="63" spans="1:25" x14ac:dyDescent="0.35">
      <c r="A63" s="31">
        <v>6</v>
      </c>
      <c r="B63" s="32">
        <v>43600</v>
      </c>
      <c r="C63" s="36">
        <v>0.40625</v>
      </c>
      <c r="D63" s="37">
        <f>D60+24+35/60</f>
        <v>47.583333333333336</v>
      </c>
      <c r="E63" s="35">
        <v>6.6929999999999996</v>
      </c>
      <c r="F63" s="35">
        <v>13.388999999999999</v>
      </c>
      <c r="G63" s="31">
        <f t="shared" si="14"/>
        <v>6.6959999999999997</v>
      </c>
      <c r="H63" s="35">
        <v>8.33</v>
      </c>
      <c r="I63" s="35">
        <v>2.532</v>
      </c>
      <c r="J63" s="35">
        <v>5.5E-2</v>
      </c>
      <c r="K63" s="35">
        <v>0.52300000000000002</v>
      </c>
      <c r="L63" s="35">
        <v>5.0149999999999997</v>
      </c>
      <c r="M63" s="31">
        <f t="shared" si="15"/>
        <v>9.7972000459132644</v>
      </c>
      <c r="N63" s="35">
        <v>0.307</v>
      </c>
      <c r="O63" s="35">
        <v>10.023</v>
      </c>
      <c r="P63" s="31">
        <f t="shared" si="16"/>
        <v>32.648208469055376</v>
      </c>
      <c r="Q63" s="35">
        <v>2.09998</v>
      </c>
      <c r="R63" s="31">
        <f t="shared" si="17"/>
        <v>0.84648937059933904</v>
      </c>
      <c r="S63" s="35">
        <v>4.0968</v>
      </c>
      <c r="T63" s="31">
        <f t="shared" si="20"/>
        <v>2.226251339148237</v>
      </c>
      <c r="U63" s="31">
        <f t="shared" si="21"/>
        <v>3.1519030019173358E-17</v>
      </c>
      <c r="V63" s="31">
        <f t="shared" si="22"/>
        <v>-16.501427156150836</v>
      </c>
      <c r="W63" s="31">
        <f t="shared" si="23"/>
        <v>3.2616454599935963E-17</v>
      </c>
      <c r="X63" s="31">
        <f t="shared" si="18"/>
        <v>-16.486563248426521</v>
      </c>
      <c r="Y63" s="31">
        <f t="shared" si="19"/>
        <v>-3.1346000250365726</v>
      </c>
    </row>
    <row r="64" spans="1:25" x14ac:dyDescent="0.35">
      <c r="A64" s="35">
        <v>7</v>
      </c>
      <c r="B64" s="32">
        <v>43600</v>
      </c>
      <c r="C64" s="36">
        <v>0.66666666666666663</v>
      </c>
      <c r="D64" s="37">
        <f>D63+6+15/60</f>
        <v>53.833333333333336</v>
      </c>
      <c r="E64" s="35">
        <v>6.76</v>
      </c>
      <c r="F64" s="35">
        <v>13.669</v>
      </c>
      <c r="G64" s="31">
        <f t="shared" si="14"/>
        <v>6.9090000000000007</v>
      </c>
      <c r="H64" s="35">
        <v>7.97</v>
      </c>
      <c r="I64" s="35">
        <v>2.069</v>
      </c>
      <c r="J64" s="35">
        <v>4.2000000000000003E-2</v>
      </c>
      <c r="K64" s="35">
        <v>0.50900000000000001</v>
      </c>
      <c r="L64" s="35">
        <v>5.0149999999999997</v>
      </c>
      <c r="M64" s="31">
        <f t="shared" si="15"/>
        <v>10.05265776677134</v>
      </c>
      <c r="N64" s="35">
        <v>0.31</v>
      </c>
      <c r="O64" s="35">
        <v>9.9849999999999994</v>
      </c>
      <c r="P64" s="31">
        <f t="shared" si="16"/>
        <v>32.20967741935484</v>
      </c>
      <c r="Q64" s="35">
        <v>2.1203400000000001</v>
      </c>
      <c r="R64" s="31">
        <f t="shared" si="17"/>
        <v>0.87698219992577431</v>
      </c>
      <c r="S64" s="35">
        <v>4.1741999999999999</v>
      </c>
      <c r="T64" s="31">
        <f t="shared" si="20"/>
        <v>2.2378434667754821</v>
      </c>
      <c r="U64" s="31">
        <f t="shared" si="21"/>
        <v>2.8505503850416985E-17</v>
      </c>
      <c r="V64" s="31">
        <f t="shared" si="22"/>
        <v>-16.545071278198812</v>
      </c>
      <c r="W64" s="31">
        <f t="shared" si="23"/>
        <v>3.1852708265078107E-17</v>
      </c>
      <c r="X64" s="31">
        <f t="shared" si="18"/>
        <v>-16.496853636026426</v>
      </c>
      <c r="Y64" s="31">
        <f t="shared" si="19"/>
        <v>-2.32318747500954</v>
      </c>
    </row>
    <row r="65" spans="1:25" x14ac:dyDescent="0.35">
      <c r="A65" s="35">
        <v>8</v>
      </c>
      <c r="B65" s="32">
        <v>43601</v>
      </c>
      <c r="C65" s="36">
        <v>0.51041666666666663</v>
      </c>
      <c r="D65" s="37">
        <f>D64+24-3-45/60</f>
        <v>74.083333333333343</v>
      </c>
      <c r="E65" s="35">
        <v>6.7460000000000004</v>
      </c>
      <c r="F65" s="35">
        <v>18.968</v>
      </c>
      <c r="G65" s="31">
        <f t="shared" si="14"/>
        <v>12.222</v>
      </c>
      <c r="H65" s="35">
        <v>8.07</v>
      </c>
      <c r="I65" s="35">
        <v>5.2050000000000001</v>
      </c>
      <c r="J65" s="35">
        <v>8.5000000000000006E-2</v>
      </c>
      <c r="K65" s="35">
        <v>0.51100000000000001</v>
      </c>
      <c r="L65" s="35">
        <v>5.0410000000000004</v>
      </c>
      <c r="M65" s="31">
        <f t="shared" si="15"/>
        <v>10.026070070363623</v>
      </c>
      <c r="N65" s="35">
        <v>0.30399999999999999</v>
      </c>
      <c r="O65" s="35">
        <v>10.037000000000001</v>
      </c>
      <c r="P65" s="31">
        <f t="shared" si="16"/>
        <v>33.016447368421055</v>
      </c>
      <c r="Q65" s="35">
        <v>2.1364000000000001</v>
      </c>
      <c r="R65" s="31">
        <f t="shared" si="17"/>
        <v>0.88128764033428708</v>
      </c>
      <c r="S65" s="35">
        <v>4.1601999999999997</v>
      </c>
      <c r="T65" s="31">
        <f t="shared" si="20"/>
        <v>2.2862021361868385</v>
      </c>
      <c r="U65" s="31">
        <f t="shared" si="21"/>
        <v>2.808000849214184E-17</v>
      </c>
      <c r="V65" s="31">
        <f t="shared" si="22"/>
        <v>-16.551602765200002</v>
      </c>
      <c r="W65" s="31">
        <f t="shared" si="23"/>
        <v>2.8666601476991972E-17</v>
      </c>
      <c r="X65" s="31">
        <f t="shared" si="18"/>
        <v>-16.542623791088239</v>
      </c>
      <c r="Y65" s="31">
        <f t="shared" si="19"/>
        <v>-1.8952889712086023</v>
      </c>
    </row>
    <row r="66" spans="1:25" x14ac:dyDescent="0.35">
      <c r="A66" s="31">
        <v>9</v>
      </c>
      <c r="B66" s="32">
        <v>43602</v>
      </c>
      <c r="C66" s="36">
        <v>0.52083333333333337</v>
      </c>
      <c r="D66" s="37">
        <f>D65+24+15/60</f>
        <v>98.333333333333343</v>
      </c>
      <c r="E66" s="35">
        <v>6.6189999999999998</v>
      </c>
      <c r="F66" s="35">
        <v>13.255000000000001</v>
      </c>
      <c r="G66" s="31">
        <f t="shared" si="14"/>
        <v>6.636000000000001</v>
      </c>
      <c r="H66" s="35">
        <v>8.11</v>
      </c>
      <c r="I66" s="35">
        <v>2.7759999999999998</v>
      </c>
      <c r="J66" s="35">
        <v>5.5E-2</v>
      </c>
      <c r="K66" s="35">
        <v>0.51200000000000001</v>
      </c>
      <c r="L66" s="35">
        <v>5.0090000000000003</v>
      </c>
      <c r="M66" s="31">
        <f t="shared" si="15"/>
        <v>9.9770345990183724</v>
      </c>
      <c r="N66" s="35">
        <v>0.30399999999999999</v>
      </c>
      <c r="O66" s="35">
        <v>10.007999999999999</v>
      </c>
      <c r="P66" s="31">
        <f t="shared" si="16"/>
        <v>32.921052631578945</v>
      </c>
      <c r="Q66" s="35">
        <v>2.1408900000000002</v>
      </c>
      <c r="R66" s="31">
        <f t="shared" si="17"/>
        <v>0.87882055555204464</v>
      </c>
      <c r="S66" s="35">
        <v>4.0869</v>
      </c>
      <c r="T66" s="31">
        <f t="shared" si="20"/>
        <v>2.239431591211718</v>
      </c>
      <c r="U66" s="31">
        <f t="shared" si="21"/>
        <v>2.8323823996181769E-17</v>
      </c>
      <c r="V66" s="31">
        <f t="shared" si="22"/>
        <v>-16.547848112976361</v>
      </c>
      <c r="W66" s="31">
        <f t="shared" si="23"/>
        <v>3.1748074822756217E-17</v>
      </c>
      <c r="X66" s="31">
        <f t="shared" si="18"/>
        <v>-16.498282604835097</v>
      </c>
      <c r="Y66" s="31">
        <f t="shared" si="19"/>
        <v>-2.2794386097691111</v>
      </c>
    </row>
    <row r="67" spans="1:25" x14ac:dyDescent="0.35">
      <c r="A67" s="35">
        <v>10</v>
      </c>
      <c r="B67" s="32">
        <v>43604</v>
      </c>
      <c r="C67" s="36">
        <v>0.51041666666666663</v>
      </c>
      <c r="D67" s="37">
        <f>D66+24*2-15/60</f>
        <v>146.08333333333334</v>
      </c>
      <c r="E67" s="35">
        <v>6.6660000000000004</v>
      </c>
      <c r="F67" s="35">
        <v>13.795999999999999</v>
      </c>
      <c r="G67" s="31">
        <f t="shared" si="14"/>
        <v>7.129999999999999</v>
      </c>
      <c r="H67" s="35">
        <v>7.79</v>
      </c>
      <c r="I67" s="35">
        <v>2.7010000000000001</v>
      </c>
      <c r="J67" s="35">
        <v>3.4000000000000002E-2</v>
      </c>
      <c r="K67" s="35">
        <v>0.50700000000000001</v>
      </c>
      <c r="L67" s="35">
        <v>5.0039999999999996</v>
      </c>
      <c r="M67" s="31">
        <f t="shared" si="15"/>
        <v>9.9940631236732393</v>
      </c>
      <c r="N67" s="35">
        <v>0.30399999999999999</v>
      </c>
      <c r="O67" s="35">
        <v>10.02</v>
      </c>
      <c r="P67" s="31">
        <f t="shared" si="16"/>
        <v>32.960526315789473</v>
      </c>
      <c r="Q67" s="35">
        <v>2.2003400000000002</v>
      </c>
      <c r="R67" s="31">
        <f t="shared" si="17"/>
        <v>0.90476596805361764</v>
      </c>
      <c r="S67" s="35">
        <v>4.1905000000000001</v>
      </c>
      <c r="T67" s="31">
        <f t="shared" si="20"/>
        <v>2.2989528216763615</v>
      </c>
      <c r="U67" s="31">
        <f t="shared" si="21"/>
        <v>2.5759707078868161E-17</v>
      </c>
      <c r="V67" s="31">
        <f t="shared" si="22"/>
        <v>-16.589059079773193</v>
      </c>
      <c r="W67" s="31">
        <f t="shared" si="23"/>
        <v>2.7826523656708099E-17</v>
      </c>
      <c r="X67" s="31">
        <f t="shared" si="18"/>
        <v>-16.555541046307397</v>
      </c>
      <c r="Y67" s="31">
        <f t="shared" si="19"/>
        <v>-1.5371883140928719</v>
      </c>
    </row>
    <row r="68" spans="1:25" x14ac:dyDescent="0.35">
      <c r="A68" s="35">
        <v>11</v>
      </c>
      <c r="B68" s="32">
        <v>43605</v>
      </c>
      <c r="C68" s="36">
        <v>0.3888888888888889</v>
      </c>
      <c r="D68" s="37">
        <f>D60+6*24+1/6</f>
        <v>167.16666666666666</v>
      </c>
      <c r="E68" s="35">
        <v>6.6369999999999996</v>
      </c>
      <c r="F68" s="35">
        <v>13</v>
      </c>
      <c r="G68" s="31">
        <f t="shared" si="14"/>
        <v>6.3630000000000004</v>
      </c>
      <c r="H68" s="35">
        <v>7.87</v>
      </c>
      <c r="I68" s="35">
        <v>2.452</v>
      </c>
      <c r="J68" s="35">
        <v>4.1000000000000002E-2</v>
      </c>
      <c r="K68" s="35">
        <v>0.50900000000000001</v>
      </c>
      <c r="L68" s="35">
        <v>4.9889999999999999</v>
      </c>
      <c r="M68" s="31">
        <f t="shared" si="15"/>
        <v>9.9654642215007492</v>
      </c>
      <c r="N68" s="35">
        <v>0.30199999999999999</v>
      </c>
      <c r="O68" s="35">
        <v>10.013</v>
      </c>
      <c r="P68" s="31">
        <f t="shared" si="16"/>
        <v>33.15562913907285</v>
      </c>
      <c r="Q68" s="35">
        <v>2.16404</v>
      </c>
      <c r="R68" s="31">
        <f t="shared" si="17"/>
        <v>0.88729328096673443</v>
      </c>
      <c r="S68" s="35">
        <v>4.1554000000000002</v>
      </c>
      <c r="T68" s="31">
        <f t="shared" si="20"/>
        <v>2.293190767718098</v>
      </c>
      <c r="U68" s="31">
        <f t="shared" si="21"/>
        <v>2.7486486814888471E-17</v>
      </c>
      <c r="V68" s="31">
        <f t="shared" si="22"/>
        <v>-16.560880765955403</v>
      </c>
      <c r="W68" s="31">
        <f t="shared" si="23"/>
        <v>2.8206156087732565E-17</v>
      </c>
      <c r="X68" s="31">
        <f t="shared" si="18"/>
        <v>-16.549656095114859</v>
      </c>
      <c r="Y68" s="31">
        <f t="shared" si="19"/>
        <v>-1.7662746651074988</v>
      </c>
    </row>
    <row r="69" spans="1:25" x14ac:dyDescent="0.35">
      <c r="A69" s="31">
        <v>12</v>
      </c>
      <c r="B69" s="32">
        <v>43605</v>
      </c>
      <c r="C69" s="36">
        <v>0.58333333333333337</v>
      </c>
      <c r="D69" s="37">
        <f>D68+4+40/60</f>
        <v>171.83333333333331</v>
      </c>
      <c r="E69" s="35">
        <v>6.65</v>
      </c>
      <c r="F69" s="35">
        <v>13.371</v>
      </c>
      <c r="G69" s="31">
        <f t="shared" si="14"/>
        <v>6.7210000000000001</v>
      </c>
      <c r="H69" s="35">
        <v>7.92</v>
      </c>
      <c r="I69" s="35">
        <v>2.59</v>
      </c>
      <c r="J69" s="35">
        <v>4.2000000000000003E-2</v>
      </c>
      <c r="K69" s="35">
        <v>0.50600000000000001</v>
      </c>
      <c r="L69" s="35">
        <v>5.0039999999999996</v>
      </c>
      <c r="M69" s="31">
        <f t="shared" si="15"/>
        <v>10.049695545347717</v>
      </c>
      <c r="N69" s="35">
        <v>0.30299999999999999</v>
      </c>
      <c r="O69" s="35">
        <v>10.021000000000001</v>
      </c>
      <c r="P69" s="31">
        <f t="shared" si="16"/>
        <v>33.072607260726073</v>
      </c>
      <c r="Q69" s="35">
        <v>2.2233100000000001</v>
      </c>
      <c r="R69" s="31">
        <f t="shared" si="17"/>
        <v>0.91930008652240425</v>
      </c>
      <c r="S69" s="35">
        <v>4.1561000000000003</v>
      </c>
      <c r="T69" s="31">
        <f t="shared" si="20"/>
        <v>2.2878339386868118</v>
      </c>
      <c r="U69" s="31">
        <f t="shared" si="21"/>
        <v>2.4323338355040918E-17</v>
      </c>
      <c r="V69" s="31">
        <f t="shared" si="22"/>
        <v>-16.613976818804133</v>
      </c>
      <c r="W69" s="31">
        <f t="shared" si="23"/>
        <v>2.855909030918552E-17</v>
      </c>
      <c r="X69" s="31">
        <f t="shared" si="18"/>
        <v>-16.544255630228953</v>
      </c>
      <c r="Y69" s="31">
        <f t="shared" si="19"/>
        <v>-1.4728382795076234</v>
      </c>
    </row>
    <row r="70" spans="1:25" x14ac:dyDescent="0.35">
      <c r="A70" s="35">
        <v>13</v>
      </c>
      <c r="B70" s="32">
        <v>43605</v>
      </c>
      <c r="C70" s="36">
        <v>0.79166666666666663</v>
      </c>
      <c r="D70" s="37">
        <f>D69+5</f>
        <v>176.83333333333331</v>
      </c>
      <c r="E70" s="35">
        <v>6.6189999999999998</v>
      </c>
      <c r="F70" s="35">
        <v>13.868</v>
      </c>
      <c r="G70" s="31">
        <f t="shared" si="14"/>
        <v>7.2490000000000006</v>
      </c>
      <c r="H70" s="35">
        <v>8.02</v>
      </c>
      <c r="I70" s="35">
        <v>2.879</v>
      </c>
      <c r="J70" s="35">
        <v>4.9000000000000002E-2</v>
      </c>
      <c r="K70" s="35">
        <v>0.50700000000000001</v>
      </c>
      <c r="L70" s="35">
        <v>5</v>
      </c>
      <c r="M70" s="31">
        <f t="shared" si="15"/>
        <v>10.029781050701779</v>
      </c>
      <c r="N70" s="35">
        <v>0.29699999999999999</v>
      </c>
      <c r="O70" s="35">
        <v>9.9019999999999992</v>
      </c>
      <c r="P70" s="31">
        <f t="shared" si="16"/>
        <v>33.340067340067343</v>
      </c>
      <c r="Q70" s="35">
        <v>2.2227700000000001</v>
      </c>
      <c r="R70" s="31">
        <f t="shared" si="17"/>
        <v>0.91725556165679467</v>
      </c>
      <c r="S70" s="35">
        <v>4.2319000000000004</v>
      </c>
      <c r="T70" s="31">
        <f t="shared" si="20"/>
        <v>2.348399317184271</v>
      </c>
      <c r="U70" s="31">
        <f t="shared" si="21"/>
        <v>2.4525393373262735E-17</v>
      </c>
      <c r="V70" s="31">
        <f t="shared" si="22"/>
        <v>-16.610384018057402</v>
      </c>
      <c r="W70" s="31">
        <f t="shared" si="23"/>
        <v>2.4568745539516477E-17</v>
      </c>
      <c r="X70" s="31">
        <f t="shared" si="18"/>
        <v>-16.609617017682481</v>
      </c>
      <c r="Y70" s="31">
        <f t="shared" si="19"/>
        <v>-1.1389158686282392</v>
      </c>
    </row>
    <row r="71" spans="1:25" x14ac:dyDescent="0.35">
      <c r="A71" s="35">
        <v>14</v>
      </c>
      <c r="B71" s="32">
        <v>43606</v>
      </c>
      <c r="C71" s="36">
        <v>0.38194444444444442</v>
      </c>
      <c r="D71" s="37">
        <f>D68+24-10/60</f>
        <v>191</v>
      </c>
      <c r="E71" s="35">
        <v>6.7080000000000002</v>
      </c>
      <c r="F71" s="35">
        <v>13.172000000000001</v>
      </c>
      <c r="G71" s="31">
        <f t="shared" si="14"/>
        <v>6.4640000000000004</v>
      </c>
      <c r="H71" s="35">
        <v>8.07</v>
      </c>
      <c r="I71" s="35">
        <v>2.4769999999999999</v>
      </c>
      <c r="J71" s="35">
        <v>4.8000000000000001E-2</v>
      </c>
      <c r="K71" s="35">
        <v>0.51100000000000001</v>
      </c>
      <c r="L71" s="35">
        <v>5.016</v>
      </c>
      <c r="M71" s="31">
        <f t="shared" si="15"/>
        <v>10.006265075090047</v>
      </c>
      <c r="N71" s="35">
        <v>0.30499999999999999</v>
      </c>
      <c r="O71" s="35">
        <v>9.92</v>
      </c>
      <c r="P71" s="31">
        <f t="shared" si="16"/>
        <v>32.524590163934427</v>
      </c>
      <c r="Q71" s="35">
        <v>2.2269299999999999</v>
      </c>
      <c r="R71" s="31">
        <f t="shared" si="17"/>
        <v>0.91681760475911456</v>
      </c>
      <c r="S71" s="35">
        <v>4.2774999999999999</v>
      </c>
      <c r="T71" s="31">
        <f t="shared" si="20"/>
        <v>2.315644714151623</v>
      </c>
      <c r="U71" s="31">
        <f t="shared" si="21"/>
        <v>2.4568675502245175E-17</v>
      </c>
      <c r="V71" s="31">
        <f t="shared" si="22"/>
        <v>-16.609618255712473</v>
      </c>
      <c r="W71" s="31">
        <f t="shared" si="23"/>
        <v>2.672677975207235E-17</v>
      </c>
      <c r="X71" s="31">
        <f t="shared" si="18"/>
        <v>-16.573053365229814</v>
      </c>
      <c r="Y71" s="31">
        <f t="shared" si="19"/>
        <v>-1.3323397525953862</v>
      </c>
    </row>
    <row r="72" spans="1:25" x14ac:dyDescent="0.35">
      <c r="A72" s="31">
        <v>15</v>
      </c>
      <c r="B72" s="32">
        <v>43606</v>
      </c>
      <c r="C72" s="36">
        <v>0.58333333333333337</v>
      </c>
      <c r="D72" s="37">
        <f>D71+4+50/60</f>
        <v>195.83333333333334</v>
      </c>
      <c r="E72" s="35">
        <v>6.6970000000000001</v>
      </c>
      <c r="F72" s="35">
        <v>13.224</v>
      </c>
      <c r="G72" s="31">
        <f t="shared" si="14"/>
        <v>6.5270000000000001</v>
      </c>
      <c r="H72" s="35">
        <v>8.42</v>
      </c>
      <c r="I72" s="35">
        <v>2.4940000000000002</v>
      </c>
      <c r="J72" s="35">
        <v>6.3E-2</v>
      </c>
      <c r="K72" s="35">
        <v>0.51100000000000001</v>
      </c>
      <c r="L72" s="35">
        <v>5.0090000000000003</v>
      </c>
      <c r="M72" s="31">
        <f t="shared" si="15"/>
        <v>10.049961786957976</v>
      </c>
      <c r="N72" s="35">
        <v>0.30599999999999999</v>
      </c>
      <c r="O72" s="35">
        <v>9.9600000000000009</v>
      </c>
      <c r="P72" s="31">
        <f t="shared" si="16"/>
        <v>32.549019607843142</v>
      </c>
      <c r="Q72" s="35">
        <v>2.21055</v>
      </c>
      <c r="R72" s="31">
        <f t="shared" si="17"/>
        <v>0.91404826283315999</v>
      </c>
      <c r="S72" s="35">
        <v>4.2245999999999997</v>
      </c>
      <c r="T72" s="31">
        <f t="shared" si="20"/>
        <v>2.2887248374716065</v>
      </c>
      <c r="U72" s="31">
        <f t="shared" si="21"/>
        <v>2.4842362285283812E-17</v>
      </c>
      <c r="V72" s="31">
        <f t="shared" si="22"/>
        <v>-16.604807109031544</v>
      </c>
      <c r="W72" s="31">
        <f t="shared" si="23"/>
        <v>2.8500393519131466E-17</v>
      </c>
      <c r="X72" s="31">
        <f t="shared" si="18"/>
        <v>-16.545149143429825</v>
      </c>
      <c r="Y72" s="31">
        <f t="shared" si="19"/>
        <v>-1.5133004071134513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57B306-B852-44C6-81F7-161A70AFE25E}">
  <dimension ref="A1:Z61"/>
  <sheetViews>
    <sheetView topLeftCell="A4" workbookViewId="0">
      <selection activeCell="E8" sqref="E8"/>
    </sheetView>
  </sheetViews>
  <sheetFormatPr defaultRowHeight="14.5" x14ac:dyDescent="0.35"/>
  <cols>
    <col min="2" max="2" width="16.453125" customWidth="1"/>
  </cols>
  <sheetData>
    <row r="1" spans="1:26" ht="18.5" x14ac:dyDescent="0.45">
      <c r="A1" s="1" t="s">
        <v>45</v>
      </c>
    </row>
    <row r="2" spans="1:26" x14ac:dyDescent="0.35">
      <c r="A2" s="2" t="s">
        <v>0</v>
      </c>
      <c r="C2" s="3"/>
    </row>
    <row r="3" spans="1:26" x14ac:dyDescent="0.35">
      <c r="A3" s="2" t="s">
        <v>1</v>
      </c>
    </row>
    <row r="4" spans="1:26" x14ac:dyDescent="0.35">
      <c r="A4" s="2" t="s">
        <v>2</v>
      </c>
    </row>
    <row r="5" spans="1:26" x14ac:dyDescent="0.35">
      <c r="A5" s="2" t="s">
        <v>3</v>
      </c>
      <c r="C5">
        <f>9.058+0.994-9.104</f>
        <v>0.9480000000000004</v>
      </c>
    </row>
    <row r="6" spans="1:26" x14ac:dyDescent="0.35">
      <c r="A6" s="2" t="s">
        <v>4</v>
      </c>
      <c r="C6">
        <f>AVERAGE(G22:G26)/(90*60)</f>
        <v>1.3152962962962962E-3</v>
      </c>
    </row>
    <row r="7" spans="1:26" ht="15" thickBot="1" x14ac:dyDescent="0.4">
      <c r="A7" s="2" t="s">
        <v>5</v>
      </c>
      <c r="C7">
        <v>2414000</v>
      </c>
    </row>
    <row r="8" spans="1:26" x14ac:dyDescent="0.35">
      <c r="A8" s="4" t="s">
        <v>6</v>
      </c>
      <c r="B8" s="5"/>
      <c r="C8" s="6">
        <f>AVERAGE(W23:W25)</f>
        <v>-16.552841027806622</v>
      </c>
    </row>
    <row r="9" spans="1:26" ht="15" thickBot="1" x14ac:dyDescent="0.4">
      <c r="A9" s="7" t="s">
        <v>7</v>
      </c>
      <c r="B9" s="8"/>
      <c r="C9" s="9">
        <f>AVERAGE(Y23:Y25)</f>
        <v>-16.424744818267076</v>
      </c>
    </row>
    <row r="10" spans="1:26" x14ac:dyDescent="0.35">
      <c r="A10" s="10"/>
    </row>
    <row r="11" spans="1:26" x14ac:dyDescent="0.35">
      <c r="A11" s="2"/>
    </row>
    <row r="12" spans="1:26" ht="15" thickBot="1" x14ac:dyDescent="0.4"/>
    <row r="13" spans="1:26" x14ac:dyDescent="0.35">
      <c r="A13" s="11" t="s">
        <v>8</v>
      </c>
      <c r="B13" s="12"/>
      <c r="C13" s="12"/>
      <c r="D13" s="12"/>
      <c r="E13" s="13" t="s">
        <v>9</v>
      </c>
      <c r="F13" s="13"/>
      <c r="G13" s="13"/>
      <c r="H13" s="14"/>
      <c r="I13" s="14"/>
      <c r="J13" s="14"/>
      <c r="K13" s="14"/>
      <c r="L13" s="15" t="s">
        <v>10</v>
      </c>
      <c r="M13" s="15"/>
      <c r="N13" s="15"/>
      <c r="O13" s="16" t="s">
        <v>10</v>
      </c>
      <c r="P13" s="16"/>
      <c r="Q13" s="16"/>
      <c r="R13" s="17" t="s">
        <v>11</v>
      </c>
      <c r="S13" s="18"/>
      <c r="T13" s="18"/>
      <c r="U13" s="18"/>
      <c r="V13" s="19" t="s">
        <v>12</v>
      </c>
      <c r="W13" s="20"/>
      <c r="X13" s="20"/>
      <c r="Y13" s="20"/>
      <c r="Z13" s="21"/>
    </row>
    <row r="14" spans="1:26" ht="15" thickBot="1" x14ac:dyDescent="0.4">
      <c r="A14" s="22" t="s">
        <v>13</v>
      </c>
      <c r="B14" s="23" t="s">
        <v>14</v>
      </c>
      <c r="C14" s="23" t="s">
        <v>15</v>
      </c>
      <c r="D14" s="23" t="s">
        <v>16</v>
      </c>
      <c r="E14" s="24" t="s">
        <v>17</v>
      </c>
      <c r="F14" s="24" t="s">
        <v>18</v>
      </c>
      <c r="G14" s="24" t="s">
        <v>19</v>
      </c>
      <c r="H14" s="24" t="s">
        <v>20</v>
      </c>
      <c r="I14" s="24" t="s">
        <v>37</v>
      </c>
      <c r="J14" s="24" t="s">
        <v>21</v>
      </c>
      <c r="K14" s="24" t="s">
        <v>22</v>
      </c>
      <c r="L14" s="25" t="s">
        <v>21</v>
      </c>
      <c r="M14" s="25" t="s">
        <v>23</v>
      </c>
      <c r="N14" s="25" t="s">
        <v>24</v>
      </c>
      <c r="O14" s="26" t="s">
        <v>25</v>
      </c>
      <c r="P14" s="26" t="s">
        <v>26</v>
      </c>
      <c r="Q14" s="26" t="s">
        <v>27</v>
      </c>
      <c r="R14" s="27" t="s">
        <v>28</v>
      </c>
      <c r="S14" s="27" t="s">
        <v>29</v>
      </c>
      <c r="T14" s="27" t="s">
        <v>30</v>
      </c>
      <c r="U14" s="27" t="s">
        <v>31</v>
      </c>
      <c r="V14" s="29" t="s">
        <v>32</v>
      </c>
      <c r="W14" s="29" t="s">
        <v>33</v>
      </c>
      <c r="X14" s="29" t="s">
        <v>34</v>
      </c>
      <c r="Y14" s="29" t="s">
        <v>35</v>
      </c>
      <c r="Z14" s="30" t="s">
        <v>36</v>
      </c>
    </row>
    <row r="15" spans="1:26" x14ac:dyDescent="0.35">
      <c r="A15" s="35">
        <v>1</v>
      </c>
      <c r="B15" s="38">
        <v>43888</v>
      </c>
      <c r="C15" s="33">
        <v>0.63541666666666663</v>
      </c>
      <c r="D15" s="37">
        <f>45/60</f>
        <v>0.75</v>
      </c>
      <c r="E15" s="35">
        <v>5.2270000000000003</v>
      </c>
      <c r="F15" s="35">
        <v>12.191000000000001</v>
      </c>
      <c r="G15" s="31">
        <f t="shared" ref="G15:G26" si="0">F15-E15</f>
        <v>6.9640000000000004</v>
      </c>
      <c r="H15" s="35">
        <v>8.3000000000000007</v>
      </c>
      <c r="I15" s="35"/>
      <c r="J15" s="35">
        <v>2.9460000000000002</v>
      </c>
      <c r="K15" s="35">
        <v>8.5999999999999993E-2</v>
      </c>
      <c r="L15" s="35">
        <v>0.51200000000000001</v>
      </c>
      <c r="M15" s="35">
        <v>4.9690000000000003</v>
      </c>
      <c r="N15" s="31">
        <f t="shared" ref="N15:N26" si="1">((J15+K15)/J15)*(M15/L15)</f>
        <v>9.9883899779361851</v>
      </c>
      <c r="O15" s="35">
        <v>0.30299999999999999</v>
      </c>
      <c r="P15" s="35">
        <v>10.042999999999999</v>
      </c>
      <c r="Q15" s="31">
        <f t="shared" ref="Q15:Q26" si="2">P15/O15</f>
        <v>33.145214521452147</v>
      </c>
      <c r="R15" s="31">
        <v>2.5229400000000002</v>
      </c>
      <c r="S15" s="31">
        <f t="shared" ref="S15:S26" si="3">R15/24.305*N15</f>
        <v>1.0368281674936977</v>
      </c>
      <c r="T15" s="31">
        <v>3.3325999999999998</v>
      </c>
      <c r="U15" s="31">
        <f>T15/60.08*Q15</f>
        <v>1.8385443061616413</v>
      </c>
      <c r="V15" s="31">
        <f t="shared" ref="V15:V26" si="4">((($P$31-S15)*10^(-6))*$C$6)/($C$7*$C$5*4)</f>
        <v>2.4618145293833863E-17</v>
      </c>
      <c r="W15" s="31">
        <f t="shared" ref="W15:W26" si="5">LOG(V15)</f>
        <v>-16.60874466947924</v>
      </c>
      <c r="X15" s="31">
        <f t="shared" ref="X15:X26" si="6">((($R$32-U15)*10^(-6))*$C$6)/($C$7*$C$5*6)</f>
        <v>7.7936413372280304E-17</v>
      </c>
      <c r="Y15" s="31">
        <f t="shared" ref="Y15:Y26" si="7">LOG(X15)</f>
        <v>-16.108259584281953</v>
      </c>
      <c r="Z15" s="31">
        <f t="shared" ref="Z15:Z26" si="8">($R$31-U15)/($P$31-S15)</f>
        <v>2.2053730658150221</v>
      </c>
    </row>
    <row r="16" spans="1:26" x14ac:dyDescent="0.35">
      <c r="A16" s="35">
        <v>2</v>
      </c>
      <c r="B16" s="32">
        <v>43889</v>
      </c>
      <c r="C16" s="33">
        <v>0.375</v>
      </c>
      <c r="D16" s="37">
        <f>D17-5-0.75</f>
        <v>18.5</v>
      </c>
      <c r="E16" s="35">
        <v>5.2789999999999999</v>
      </c>
      <c r="F16" s="35">
        <v>12.545999999999999</v>
      </c>
      <c r="G16" s="31">
        <f t="shared" si="0"/>
        <v>7.2669999999999995</v>
      </c>
      <c r="H16" s="35">
        <v>7.99</v>
      </c>
      <c r="I16" s="35"/>
      <c r="J16" s="35">
        <v>2.9430000000000001</v>
      </c>
      <c r="K16" s="35">
        <v>4.7E-2</v>
      </c>
      <c r="L16" s="35">
        <v>0.51</v>
      </c>
      <c r="M16" s="35">
        <v>5.0090000000000003</v>
      </c>
      <c r="N16" s="31">
        <f t="shared" si="1"/>
        <v>9.9784200462379999</v>
      </c>
      <c r="O16" s="35">
        <v>0.30299999999999999</v>
      </c>
      <c r="P16" s="35">
        <v>10.051</v>
      </c>
      <c r="Q16" s="31">
        <f t="shared" si="2"/>
        <v>33.171617161716171</v>
      </c>
      <c r="R16" s="35">
        <v>2.5490300000000001</v>
      </c>
      <c r="S16" s="31">
        <f t="shared" si="3"/>
        <v>1.0465045073220347</v>
      </c>
      <c r="T16" s="35">
        <v>3.4982000000000002</v>
      </c>
      <c r="U16" s="31">
        <f t="shared" ref="U16:U26" si="9">T16/60.08*Q16</f>
        <v>1.9314405984539866</v>
      </c>
      <c r="V16" s="31">
        <f t="shared" si="4"/>
        <v>2.3227779370860363E-17</v>
      </c>
      <c r="W16" s="31">
        <f t="shared" si="5"/>
        <v>-16.633992307766704</v>
      </c>
      <c r="X16" s="31">
        <f t="shared" si="6"/>
        <v>6.9037742906296889E-17</v>
      </c>
      <c r="Y16" s="31">
        <f t="shared" si="7"/>
        <v>-16.160913415719325</v>
      </c>
      <c r="Z16" s="31">
        <f t="shared" si="8"/>
        <v>1.7627250633236209</v>
      </c>
    </row>
    <row r="17" spans="1:26" x14ac:dyDescent="0.35">
      <c r="A17" s="31">
        <v>3</v>
      </c>
      <c r="B17" s="38">
        <v>43889</v>
      </c>
      <c r="C17" s="36">
        <v>0.61458333333333337</v>
      </c>
      <c r="D17" s="37">
        <f>24+15/60</f>
        <v>24.25</v>
      </c>
      <c r="E17" s="35">
        <v>5.2309999999999999</v>
      </c>
      <c r="F17" s="35">
        <v>12.098000000000001</v>
      </c>
      <c r="G17" s="31">
        <f t="shared" si="0"/>
        <v>6.8670000000000009</v>
      </c>
      <c r="H17" s="35">
        <v>-73</v>
      </c>
      <c r="I17" s="35">
        <v>8.4422021660649804</v>
      </c>
      <c r="J17" s="35">
        <v>2.84</v>
      </c>
      <c r="K17" s="35">
        <v>4.8000000000000001E-2</v>
      </c>
      <c r="L17" s="35">
        <v>0.50800000000000001</v>
      </c>
      <c r="M17" s="35">
        <v>5.0030000000000001</v>
      </c>
      <c r="N17" s="31">
        <f t="shared" si="1"/>
        <v>10.014877453698571</v>
      </c>
      <c r="O17" s="35">
        <v>0.30499999999999999</v>
      </c>
      <c r="P17" s="35">
        <v>9.8949999999999996</v>
      </c>
      <c r="Q17" s="31">
        <f t="shared" si="2"/>
        <v>32.442622950819668</v>
      </c>
      <c r="R17" s="35">
        <v>2.60989</v>
      </c>
      <c r="S17" s="31">
        <f t="shared" si="3"/>
        <v>1.0754054111348843</v>
      </c>
      <c r="T17" s="35">
        <v>3.6539000000000001</v>
      </c>
      <c r="U17" s="31">
        <f t="shared" si="9"/>
        <v>1.9730709054593873</v>
      </c>
      <c r="V17" s="31">
        <f t="shared" si="4"/>
        <v>1.9075090180796362E-17</v>
      </c>
      <c r="W17" s="31">
        <f t="shared" si="5"/>
        <v>-16.719533400165762</v>
      </c>
      <c r="X17" s="31">
        <f t="shared" si="6"/>
        <v>6.504991546671556E-17</v>
      </c>
      <c r="Y17" s="31">
        <f t="shared" si="7"/>
        <v>-16.186753263473847</v>
      </c>
      <c r="Z17" s="31">
        <f t="shared" si="8"/>
        <v>1.8328850543623121</v>
      </c>
    </row>
    <row r="18" spans="1:26" x14ac:dyDescent="0.35">
      <c r="A18" s="35">
        <v>4</v>
      </c>
      <c r="B18" s="32">
        <v>43890</v>
      </c>
      <c r="C18" s="36">
        <v>0.41319444444444442</v>
      </c>
      <c r="D18" s="37">
        <f>D16+24+55/60</f>
        <v>43.416666666666664</v>
      </c>
      <c r="E18" s="35">
        <v>5.266</v>
      </c>
      <c r="F18" s="35">
        <v>11.19</v>
      </c>
      <c r="G18" s="31">
        <f t="shared" si="0"/>
        <v>5.9239999999999995</v>
      </c>
      <c r="H18" s="35">
        <v>-54</v>
      </c>
      <c r="I18" s="35">
        <v>8.1155169018706914</v>
      </c>
      <c r="J18" s="35">
        <v>2.6160000000000001</v>
      </c>
      <c r="K18" s="35">
        <v>5.3999999999999999E-2</v>
      </c>
      <c r="L18" s="35">
        <v>0.50900000000000001</v>
      </c>
      <c r="M18" s="35">
        <v>5.0220000000000002</v>
      </c>
      <c r="N18" s="31">
        <f t="shared" si="1"/>
        <v>10.070069032641806</v>
      </c>
      <c r="O18" s="35">
        <v>0.30299999999999999</v>
      </c>
      <c r="P18" s="35">
        <v>10.042</v>
      </c>
      <c r="Q18" s="31">
        <f t="shared" si="2"/>
        <v>33.14191419141914</v>
      </c>
      <c r="R18" s="35">
        <v>2.5786500000000001</v>
      </c>
      <c r="S18" s="31">
        <f t="shared" si="3"/>
        <v>1.0683885419058545</v>
      </c>
      <c r="T18" s="35">
        <v>3.6999</v>
      </c>
      <c r="U18" s="31">
        <f t="shared" si="9"/>
        <v>2.0409748388287561</v>
      </c>
      <c r="V18" s="31">
        <f t="shared" si="4"/>
        <v>2.008332428946563E-17</v>
      </c>
      <c r="W18" s="31">
        <f t="shared" si="5"/>
        <v>-16.697164399043018</v>
      </c>
      <c r="X18" s="31">
        <f t="shared" si="6"/>
        <v>5.8545299281426792E-17</v>
      </c>
      <c r="Y18" s="31">
        <f t="shared" si="7"/>
        <v>-16.232507969559901</v>
      </c>
      <c r="Z18" s="31">
        <f t="shared" si="8"/>
        <v>1.2550473747158934</v>
      </c>
    </row>
    <row r="19" spans="1:26" x14ac:dyDescent="0.35">
      <c r="A19" s="35">
        <v>5</v>
      </c>
      <c r="B19" s="32">
        <v>43890</v>
      </c>
      <c r="C19" s="36">
        <v>0.67361111111111116</v>
      </c>
      <c r="D19" s="37">
        <f>D18+6+15/60</f>
        <v>49.666666666666664</v>
      </c>
      <c r="E19" s="35">
        <v>5.2590000000000003</v>
      </c>
      <c r="F19" s="35"/>
      <c r="G19" s="31">
        <f t="shared" si="0"/>
        <v>-5.2590000000000003</v>
      </c>
      <c r="H19" s="35"/>
      <c r="I19" s="35"/>
      <c r="J19" s="35"/>
      <c r="K19" s="35"/>
      <c r="L19" s="35"/>
      <c r="M19" s="35"/>
      <c r="N19" s="31"/>
      <c r="O19" s="35"/>
      <c r="P19" s="35"/>
      <c r="Q19" s="31"/>
      <c r="R19" s="35"/>
      <c r="S19" s="31">
        <f t="shared" si="3"/>
        <v>0</v>
      </c>
      <c r="T19" s="35"/>
      <c r="U19" s="31"/>
      <c r="V19" s="31">
        <f t="shared" si="4"/>
        <v>1.7359705443060019E-16</v>
      </c>
      <c r="W19" s="31">
        <f t="shared" si="5"/>
        <v>-15.760457648142184</v>
      </c>
      <c r="X19" s="31">
        <f t="shared" si="6"/>
        <v>2.5405323691735386E-16</v>
      </c>
      <c r="Y19" s="31">
        <f t="shared" si="7"/>
        <v>-15.595075267329598</v>
      </c>
      <c r="Z19" s="31">
        <f t="shared" si="8"/>
        <v>1.8345209308045474</v>
      </c>
    </row>
    <row r="20" spans="1:26" x14ac:dyDescent="0.35">
      <c r="A20" s="31">
        <v>6</v>
      </c>
      <c r="B20" s="32">
        <v>43891</v>
      </c>
      <c r="C20" s="36">
        <v>0.43402777777777773</v>
      </c>
      <c r="D20" s="37">
        <f>D18+24+0.5</f>
        <v>67.916666666666657</v>
      </c>
      <c r="E20" s="35">
        <v>5.2789999999999999</v>
      </c>
      <c r="F20" s="35">
        <v>13.047000000000001</v>
      </c>
      <c r="G20" s="31">
        <f t="shared" si="0"/>
        <v>7.7680000000000007</v>
      </c>
      <c r="H20" s="35">
        <v>-51</v>
      </c>
      <c r="I20" s="35">
        <v>8.0639350180505414</v>
      </c>
      <c r="J20" s="35">
        <v>3.6579999999999999</v>
      </c>
      <c r="K20" s="35">
        <v>0.10100000000000001</v>
      </c>
      <c r="L20" s="35">
        <v>0.51</v>
      </c>
      <c r="M20" s="35">
        <v>5.0030000000000001</v>
      </c>
      <c r="N20" s="31">
        <f t="shared" si="1"/>
        <v>10.080659634001222</v>
      </c>
      <c r="O20" s="35">
        <v>0.30299999999999999</v>
      </c>
      <c r="P20" s="35">
        <v>10.068</v>
      </c>
      <c r="Q20" s="31">
        <f t="shared" si="2"/>
        <v>33.227722772277225</v>
      </c>
      <c r="R20" s="35">
        <v>2.5480200000000002</v>
      </c>
      <c r="S20" s="31">
        <f t="shared" si="3"/>
        <v>1.0568081613095164</v>
      </c>
      <c r="T20" s="35">
        <v>3.9053</v>
      </c>
      <c r="U20" s="31">
        <f t="shared" si="9"/>
        <v>2.159857285994911</v>
      </c>
      <c r="V20" s="31">
        <f t="shared" si="4"/>
        <v>2.1747276449254462E-17</v>
      </c>
      <c r="W20" s="31">
        <f t="shared" si="5"/>
        <v>-16.662595124783969</v>
      </c>
      <c r="X20" s="31">
        <f t="shared" si="6"/>
        <v>4.7157377380388043E-17</v>
      </c>
      <c r="Y20" s="31">
        <f t="shared" si="7"/>
        <v>-16.326450355843637</v>
      </c>
      <c r="Z20" s="31">
        <f t="shared" si="8"/>
        <v>0.37354749191051706</v>
      </c>
    </row>
    <row r="21" spans="1:26" x14ac:dyDescent="0.35">
      <c r="A21" s="35">
        <v>7</v>
      </c>
      <c r="B21" s="32">
        <v>43891</v>
      </c>
      <c r="C21" s="36">
        <v>0.66666666666666663</v>
      </c>
      <c r="D21" s="37">
        <f>D19+25-10/60</f>
        <v>74.499999999999986</v>
      </c>
      <c r="E21" s="35">
        <v>5.181</v>
      </c>
      <c r="F21" s="35"/>
      <c r="G21" s="31">
        <f t="shared" si="0"/>
        <v>-5.181</v>
      </c>
      <c r="H21" s="35"/>
      <c r="I21" s="35"/>
      <c r="J21" s="35"/>
      <c r="K21" s="35"/>
      <c r="L21" s="35"/>
      <c r="M21" s="35"/>
      <c r="N21" s="31"/>
      <c r="O21" s="35"/>
      <c r="P21" s="35"/>
      <c r="Q21" s="31"/>
      <c r="R21" s="35"/>
      <c r="S21" s="31">
        <f t="shared" si="3"/>
        <v>0</v>
      </c>
      <c r="T21" s="35"/>
      <c r="U21" s="31"/>
      <c r="V21" s="31">
        <f t="shared" si="4"/>
        <v>1.7359705443060019E-16</v>
      </c>
      <c r="W21" s="31">
        <f t="shared" si="5"/>
        <v>-15.760457648142184</v>
      </c>
      <c r="X21" s="31">
        <f t="shared" si="6"/>
        <v>2.5405323691735386E-16</v>
      </c>
      <c r="Y21" s="31">
        <f t="shared" si="7"/>
        <v>-15.595075267329598</v>
      </c>
      <c r="Z21" s="31">
        <f t="shared" si="8"/>
        <v>1.8345209308045474</v>
      </c>
    </row>
    <row r="22" spans="1:26" x14ac:dyDescent="0.35">
      <c r="A22" s="35">
        <v>8</v>
      </c>
      <c r="B22" s="32">
        <v>43892</v>
      </c>
      <c r="C22" s="36">
        <v>0.35416666666666669</v>
      </c>
      <c r="D22" s="37">
        <f>D21+6+8.5</f>
        <v>88.999999999999986</v>
      </c>
      <c r="E22" s="35">
        <v>5.181</v>
      </c>
      <c r="F22" s="35">
        <v>12.429</v>
      </c>
      <c r="G22" s="31">
        <f t="shared" si="0"/>
        <v>7.2480000000000002</v>
      </c>
      <c r="H22" s="35">
        <v>-89</v>
      </c>
      <c r="I22" s="35">
        <v>8.720407256972651</v>
      </c>
      <c r="J22" s="35">
        <v>3.613</v>
      </c>
      <c r="K22" s="35">
        <v>4.9000000000000002E-2</v>
      </c>
      <c r="L22" s="35">
        <v>0.50600000000000001</v>
      </c>
      <c r="M22" s="35">
        <v>4.9779999999999998</v>
      </c>
      <c r="N22" s="31">
        <f t="shared" si="1"/>
        <v>9.9713682146924398</v>
      </c>
      <c r="O22" s="35">
        <v>0.30299999999999999</v>
      </c>
      <c r="P22" s="35">
        <v>10.037000000000001</v>
      </c>
      <c r="Q22" s="31">
        <f t="shared" si="2"/>
        <v>33.125412541254128</v>
      </c>
      <c r="R22" s="35">
        <v>2.4424700000000001</v>
      </c>
      <c r="S22" s="31">
        <f t="shared" si="3"/>
        <v>1.0020476331347397</v>
      </c>
      <c r="T22" s="35">
        <v>4.0408999999999997</v>
      </c>
      <c r="U22" s="31">
        <f t="shared" si="9"/>
        <v>2.227970698035183</v>
      </c>
      <c r="V22" s="31">
        <f t="shared" si="4"/>
        <v>2.9615661980245526E-17</v>
      </c>
      <c r="W22" s="31">
        <f t="shared" si="5"/>
        <v>-16.528478555403431</v>
      </c>
      <c r="X22" s="31">
        <f t="shared" si="6"/>
        <v>4.0632694929632457E-17</v>
      </c>
      <c r="Y22" s="31">
        <f t="shared" si="7"/>
        <v>-16.391124372498719</v>
      </c>
      <c r="Z22" s="31">
        <f t="shared" si="8"/>
        <v>-5.6165656662992954E-2</v>
      </c>
    </row>
    <row r="23" spans="1:26" x14ac:dyDescent="0.35">
      <c r="A23" s="31">
        <v>9</v>
      </c>
      <c r="B23" s="32">
        <v>43892</v>
      </c>
      <c r="C23" s="36">
        <v>0.64236111111111105</v>
      </c>
      <c r="D23" s="37">
        <f>D22+7-5/60</f>
        <v>95.916666666666657</v>
      </c>
      <c r="E23" s="35">
        <v>5.2590000000000003</v>
      </c>
      <c r="F23" s="35">
        <v>12.292999999999999</v>
      </c>
      <c r="G23" s="31">
        <f t="shared" si="0"/>
        <v>7.0339999999999989</v>
      </c>
      <c r="H23" s="35">
        <v>-70</v>
      </c>
      <c r="I23" s="35">
        <v>8.3969596533983211</v>
      </c>
      <c r="J23" s="35">
        <v>2.738</v>
      </c>
      <c r="K23" s="35">
        <v>5.8000000000000003E-2</v>
      </c>
      <c r="L23" s="35">
        <v>0.50800000000000001</v>
      </c>
      <c r="M23" s="35">
        <v>4.9859999999999998</v>
      </c>
      <c r="N23" s="31">
        <f t="shared" si="1"/>
        <v>10.022874332089057</v>
      </c>
      <c r="O23" s="35">
        <v>0.30299999999999999</v>
      </c>
      <c r="P23" s="35">
        <v>10.048999999999999</v>
      </c>
      <c r="Q23" s="31">
        <f t="shared" si="2"/>
        <v>33.165016501650165</v>
      </c>
      <c r="R23" s="35">
        <v>2.4626100000000002</v>
      </c>
      <c r="S23" s="31">
        <f t="shared" si="3"/>
        <v>1.015528926514949</v>
      </c>
      <c r="T23" s="35">
        <v>4.0124000000000004</v>
      </c>
      <c r="U23" s="31">
        <f t="shared" si="9"/>
        <v>2.2149020008525491</v>
      </c>
      <c r="V23" s="31">
        <f t="shared" si="4"/>
        <v>2.767857303484079E-17</v>
      </c>
      <c r="W23" s="31">
        <f t="shared" si="5"/>
        <v>-16.557856303632516</v>
      </c>
      <c r="X23" s="31">
        <f t="shared" si="6"/>
        <v>4.188456437219327E-17</v>
      </c>
      <c r="Y23" s="31">
        <f t="shared" si="7"/>
        <v>-16.37794599715453</v>
      </c>
      <c r="Z23" s="31">
        <f t="shared" si="8"/>
        <v>7.7468249877476166E-3</v>
      </c>
    </row>
    <row r="24" spans="1:26" x14ac:dyDescent="0.35">
      <c r="A24" s="35">
        <v>10</v>
      </c>
      <c r="B24" s="32">
        <v>43893</v>
      </c>
      <c r="C24" s="36">
        <v>0.36458333333333331</v>
      </c>
      <c r="D24" s="37">
        <f>D22+24+15/60</f>
        <v>113.24999999999999</v>
      </c>
      <c r="E24" s="35">
        <v>5.218</v>
      </c>
      <c r="F24" s="35">
        <v>12.304</v>
      </c>
      <c r="G24" s="31">
        <f t="shared" si="0"/>
        <v>7.0860000000000003</v>
      </c>
      <c r="H24" s="35">
        <v>-62</v>
      </c>
      <c r="I24" s="35">
        <v>8.2607711887354451</v>
      </c>
      <c r="J24" s="35">
        <v>2.6890000000000001</v>
      </c>
      <c r="K24" s="35">
        <v>5.8000000000000003E-2</v>
      </c>
      <c r="L24" s="35">
        <v>0.50800000000000001</v>
      </c>
      <c r="M24" s="35">
        <v>4.9909999999999997</v>
      </c>
      <c r="N24" s="31">
        <f t="shared" si="1"/>
        <v>10.036717832639829</v>
      </c>
      <c r="O24" s="35">
        <v>0.30099999999999999</v>
      </c>
      <c r="P24" s="35">
        <v>10.077</v>
      </c>
      <c r="Q24" s="31">
        <f t="shared" si="2"/>
        <v>33.478405315614616</v>
      </c>
      <c r="R24" s="35">
        <v>2.4832700000000001</v>
      </c>
      <c r="S24" s="31">
        <f t="shared" si="3"/>
        <v>1.0254630854663447</v>
      </c>
      <c r="T24" s="35">
        <v>4.0892999999999997</v>
      </c>
      <c r="U24" s="31">
        <f t="shared" si="9"/>
        <v>2.2786824709910594</v>
      </c>
      <c r="V24" s="31">
        <f t="shared" si="4"/>
        <v>2.6251161810715101E-17</v>
      </c>
      <c r="W24" s="31">
        <f t="shared" si="5"/>
        <v>-16.58085147104595</v>
      </c>
      <c r="X24" s="31">
        <f t="shared" si="6"/>
        <v>3.577494070559979E-17</v>
      </c>
      <c r="Y24" s="31">
        <f t="shared" si="7"/>
        <v>-16.446421077379568</v>
      </c>
      <c r="Z24" s="31">
        <f t="shared" si="8"/>
        <v>-0.34093784127396343</v>
      </c>
    </row>
    <row r="25" spans="1:26" x14ac:dyDescent="0.35">
      <c r="A25" s="35">
        <v>11</v>
      </c>
      <c r="B25" s="32">
        <v>43893</v>
      </c>
      <c r="C25" s="36">
        <v>0.71875</v>
      </c>
      <c r="D25" s="37">
        <f>D24+8.5</f>
        <v>121.74999999999999</v>
      </c>
      <c r="E25" s="35">
        <v>5.2510000000000003</v>
      </c>
      <c r="F25" s="35">
        <v>12.259</v>
      </c>
      <c r="G25" s="31">
        <f t="shared" si="0"/>
        <v>7.008</v>
      </c>
      <c r="H25" s="35">
        <v>-79</v>
      </c>
      <c r="I25" s="35">
        <v>8.5585576975888387</v>
      </c>
      <c r="J25" s="35">
        <v>3.3809999999999998</v>
      </c>
      <c r="K25" s="35">
        <v>8.3000000000000004E-2</v>
      </c>
      <c r="L25" s="35">
        <v>0.50700000000000001</v>
      </c>
      <c r="M25" s="35">
        <v>5.01</v>
      </c>
      <c r="N25" s="31">
        <f t="shared" si="1"/>
        <v>10.124241103696432</v>
      </c>
      <c r="O25" s="35">
        <v>0.30199999999999999</v>
      </c>
      <c r="P25" s="35">
        <v>10.132</v>
      </c>
      <c r="Q25" s="31">
        <f t="shared" si="2"/>
        <v>33.549668874172184</v>
      </c>
      <c r="R25" s="35">
        <v>2.3956200000000001</v>
      </c>
      <c r="S25" s="31">
        <f t="shared" si="3"/>
        <v>0.99789485590772475</v>
      </c>
      <c r="T25" s="35">
        <v>4.0858999999999996</v>
      </c>
      <c r="U25" s="31">
        <f t="shared" si="9"/>
        <v>2.2816343550762337</v>
      </c>
      <c r="V25" s="31">
        <f t="shared" si="4"/>
        <v>3.0212362803549937E-17</v>
      </c>
      <c r="W25" s="31">
        <f t="shared" si="5"/>
        <v>-16.519815308741396</v>
      </c>
      <c r="X25" s="31">
        <f t="shared" si="6"/>
        <v>3.5492175451147205E-17</v>
      </c>
      <c r="Y25" s="31">
        <f t="shared" si="7"/>
        <v>-16.449867380267129</v>
      </c>
      <c r="Z25" s="31">
        <f t="shared" si="8"/>
        <v>-0.3102757100234525</v>
      </c>
    </row>
    <row r="26" spans="1:26" x14ac:dyDescent="0.35">
      <c r="A26" s="35">
        <v>12</v>
      </c>
      <c r="B26" s="32">
        <v>43894</v>
      </c>
      <c r="C26" s="36">
        <v>0.3576388888888889</v>
      </c>
      <c r="D26" s="37">
        <f>D24+24-10/60</f>
        <v>137.08333333333334</v>
      </c>
      <c r="E26" s="35">
        <v>5.2709999999999999</v>
      </c>
      <c r="F26" s="35">
        <v>12.407999999999999</v>
      </c>
      <c r="G26" s="31">
        <f t="shared" si="0"/>
        <v>7.1369999999999996</v>
      </c>
      <c r="H26" s="35">
        <v>-67</v>
      </c>
      <c r="I26" s="35">
        <v>8.3513802383698561</v>
      </c>
      <c r="J26" s="35">
        <v>2.8519999999999999</v>
      </c>
      <c r="K26" s="35">
        <v>5.5E-2</v>
      </c>
      <c r="L26" s="35">
        <v>0.50700000000000001</v>
      </c>
      <c r="M26" s="35">
        <v>5.0119999999999996</v>
      </c>
      <c r="N26" s="31">
        <f t="shared" si="1"/>
        <v>10.076242562055487</v>
      </c>
      <c r="O26" s="35">
        <v>0.30199999999999999</v>
      </c>
      <c r="P26" s="35">
        <v>10.138999999999999</v>
      </c>
      <c r="Q26" s="31">
        <f t="shared" si="2"/>
        <v>33.572847682119203</v>
      </c>
      <c r="R26" s="35">
        <v>2.4037000000000002</v>
      </c>
      <c r="S26" s="31">
        <f t="shared" si="3"/>
        <v>0.99651364930725272</v>
      </c>
      <c r="T26" s="35">
        <v>4.0797999999999996</v>
      </c>
      <c r="U26" s="31">
        <f t="shared" si="9"/>
        <v>2.2798019968959706</v>
      </c>
      <c r="V26" s="31">
        <f t="shared" si="4"/>
        <v>3.041082447645011E-17</v>
      </c>
      <c r="W26" s="31">
        <f t="shared" si="5"/>
        <v>-16.516971805415917</v>
      </c>
      <c r="X26" s="31">
        <f t="shared" si="6"/>
        <v>3.5667699696727389E-17</v>
      </c>
      <c r="Y26" s="31">
        <f t="shared" si="7"/>
        <v>-16.447724898545911</v>
      </c>
      <c r="Z26" s="31">
        <f t="shared" si="8"/>
        <v>-0.2995931912021233</v>
      </c>
    </row>
    <row r="28" spans="1:26" ht="15" thickBot="1" x14ac:dyDescent="0.4"/>
    <row r="29" spans="1:26" x14ac:dyDescent="0.35">
      <c r="A29" s="11" t="s">
        <v>8</v>
      </c>
      <c r="B29" s="12"/>
      <c r="C29" s="12"/>
      <c r="D29" s="12"/>
      <c r="E29" s="13" t="s">
        <v>9</v>
      </c>
      <c r="F29" s="13"/>
      <c r="G29" s="14"/>
      <c r="H29" s="14"/>
      <c r="I29" s="15" t="s">
        <v>10</v>
      </c>
      <c r="J29" s="15"/>
      <c r="K29" s="15"/>
      <c r="L29" s="16" t="s">
        <v>10</v>
      </c>
      <c r="M29" s="16"/>
      <c r="N29" s="16"/>
      <c r="O29" s="17" t="s">
        <v>11</v>
      </c>
      <c r="P29" s="18"/>
      <c r="Q29" s="18"/>
      <c r="R29" s="40"/>
    </row>
    <row r="30" spans="1:26" ht="15" thickBot="1" x14ac:dyDescent="0.4">
      <c r="A30" s="22" t="s">
        <v>13</v>
      </c>
      <c r="B30" s="23" t="s">
        <v>14</v>
      </c>
      <c r="C30" s="23" t="s">
        <v>15</v>
      </c>
      <c r="D30" s="23" t="s">
        <v>16</v>
      </c>
      <c r="E30" s="24" t="s">
        <v>20</v>
      </c>
      <c r="F30" s="24"/>
      <c r="G30" s="24" t="s">
        <v>21</v>
      </c>
      <c r="H30" s="24" t="s">
        <v>22</v>
      </c>
      <c r="I30" s="25" t="s">
        <v>21</v>
      </c>
      <c r="J30" s="25" t="s">
        <v>23</v>
      </c>
      <c r="K30" s="25" t="s">
        <v>24</v>
      </c>
      <c r="L30" s="26" t="s">
        <v>25</v>
      </c>
      <c r="M30" s="26" t="s">
        <v>26</v>
      </c>
      <c r="N30" s="26" t="s">
        <v>27</v>
      </c>
      <c r="O30" s="27" t="s">
        <v>28</v>
      </c>
      <c r="P30" s="27" t="s">
        <v>29</v>
      </c>
      <c r="Q30" s="27" t="s">
        <v>30</v>
      </c>
      <c r="R30" s="41" t="s">
        <v>31</v>
      </c>
    </row>
    <row r="31" spans="1:26" x14ac:dyDescent="0.35">
      <c r="A31" s="31">
        <v>1</v>
      </c>
      <c r="B31" s="32">
        <v>43888</v>
      </c>
      <c r="C31" s="33">
        <v>0.58333333333333337</v>
      </c>
      <c r="D31" s="34">
        <v>0</v>
      </c>
      <c r="E31" s="31">
        <v>9.34</v>
      </c>
      <c r="F31" s="31"/>
      <c r="G31" s="31">
        <v>4.8289999999999997</v>
      </c>
      <c r="H31" s="31">
        <v>5.1999999999999998E-2</v>
      </c>
      <c r="I31" s="31">
        <v>0.495</v>
      </c>
      <c r="J31" s="31">
        <v>4.9749999999999996</v>
      </c>
      <c r="K31" s="31">
        <f>((G31+H31)/G31)*(J31/I31)</f>
        <v>10.158731652829809</v>
      </c>
      <c r="L31" s="31">
        <v>0.30199999999999999</v>
      </c>
      <c r="M31" s="31">
        <v>10.068</v>
      </c>
      <c r="N31" s="31">
        <f>M31/L31</f>
        <v>33.337748344370858</v>
      </c>
      <c r="O31" s="31">
        <v>2.8905500000000002</v>
      </c>
      <c r="P31" s="31">
        <f>O31/24.305*K31</f>
        <v>1.2081597111329854</v>
      </c>
      <c r="Q31" s="31">
        <v>3.9943</v>
      </c>
      <c r="R31" s="31">
        <f>Q31/60.08*N31</f>
        <v>2.2163942778282375</v>
      </c>
    </row>
    <row r="32" spans="1:26" x14ac:dyDescent="0.35">
      <c r="A32" s="35">
        <v>2</v>
      </c>
      <c r="B32" s="38">
        <v>43864</v>
      </c>
      <c r="C32" s="36">
        <v>0.79166666666666663</v>
      </c>
      <c r="D32" s="37">
        <f>5*24+4.5</f>
        <v>124.5</v>
      </c>
      <c r="E32" s="35">
        <v>-99</v>
      </c>
      <c r="F32" s="35" t="e">
        <f>(E32-$C$84)/$C$83</f>
        <v>#DIV/0!</v>
      </c>
      <c r="G32" s="35">
        <v>6.0129999999999999</v>
      </c>
      <c r="H32" s="35">
        <v>0.106</v>
      </c>
      <c r="I32" s="35">
        <v>0.50700000000000001</v>
      </c>
      <c r="J32" s="35">
        <v>4.9800000000000004</v>
      </c>
      <c r="K32" s="31">
        <f t="shared" ref="K32:K33" si="10">((G32+H32)/G32)*(J32/I32)</f>
        <v>9.9956406090551351</v>
      </c>
      <c r="L32" s="35">
        <v>0.31</v>
      </c>
      <c r="M32" s="35">
        <v>10.018000000000001</v>
      </c>
      <c r="N32" s="31">
        <f t="shared" ref="N32:N33" si="11">M32/L32</f>
        <v>32.316129032258068</v>
      </c>
      <c r="O32" s="35">
        <v>3.0954100000000002</v>
      </c>
      <c r="P32" s="31">
        <f t="shared" ref="P32:P33" si="12">O32/24.305*K32</f>
        <v>1.2730140258249478</v>
      </c>
      <c r="Q32" s="35">
        <v>4.9306999999999999</v>
      </c>
      <c r="R32" s="31">
        <f t="shared" ref="R32:R33" si="13">Q32/60.08*N32</f>
        <v>2.6521494244233494</v>
      </c>
    </row>
    <row r="33" spans="1:26" x14ac:dyDescent="0.35">
      <c r="A33" s="31">
        <v>3</v>
      </c>
      <c r="B33" s="32">
        <v>43865</v>
      </c>
      <c r="C33" s="33">
        <v>0.5625</v>
      </c>
      <c r="D33" s="34">
        <f>D32+24-4.5</f>
        <v>144</v>
      </c>
      <c r="E33" s="31">
        <v>-98</v>
      </c>
      <c r="F33" s="35" t="e">
        <f>(E33-$C$84)/$C$83</f>
        <v>#DIV/0!</v>
      </c>
      <c r="G33" s="31">
        <v>5.2069999999999999</v>
      </c>
      <c r="H33" s="31">
        <v>8.2000000000000003E-2</v>
      </c>
      <c r="I33" s="31">
        <v>0.50600000000000001</v>
      </c>
      <c r="J33" s="31">
        <v>4.976</v>
      </c>
      <c r="K33" s="31">
        <f t="shared" si="10"/>
        <v>9.9888581121035767</v>
      </c>
      <c r="L33" s="31">
        <v>0.30199999999999999</v>
      </c>
      <c r="M33" s="31">
        <v>10</v>
      </c>
      <c r="N33" s="31">
        <f t="shared" si="11"/>
        <v>33.112582781456958</v>
      </c>
      <c r="O33" s="35">
        <v>3.3393999999999999</v>
      </c>
      <c r="P33" s="31">
        <f t="shared" si="12"/>
        <v>1.3724251297905239</v>
      </c>
      <c r="Q33" s="35">
        <v>4.5704000000000002</v>
      </c>
      <c r="R33" s="31">
        <f t="shared" si="13"/>
        <v>2.5189372227758136</v>
      </c>
    </row>
    <row r="37" spans="1:26" ht="18.5" x14ac:dyDescent="0.45">
      <c r="A37" s="1" t="s">
        <v>46</v>
      </c>
    </row>
    <row r="38" spans="1:26" x14ac:dyDescent="0.35">
      <c r="A38" s="2" t="s">
        <v>0</v>
      </c>
      <c r="C38" s="3">
        <v>0.40972222222222227</v>
      </c>
    </row>
    <row r="39" spans="1:26" x14ac:dyDescent="0.35">
      <c r="A39" s="2" t="s">
        <v>1</v>
      </c>
    </row>
    <row r="40" spans="1:26" x14ac:dyDescent="0.35">
      <c r="A40" s="2" t="s">
        <v>2</v>
      </c>
    </row>
    <row r="41" spans="1:26" x14ac:dyDescent="0.35">
      <c r="A41" s="2" t="s">
        <v>3</v>
      </c>
      <c r="C41">
        <f>9.081+1.079-9.17</f>
        <v>0.99000000000000021</v>
      </c>
    </row>
    <row r="42" spans="1:26" x14ac:dyDescent="0.35">
      <c r="A42" s="2" t="s">
        <v>4</v>
      </c>
      <c r="C42">
        <f>AVERAGE(G56:G59)/(90*60)</f>
        <v>1.4284722222222223E-3</v>
      </c>
    </row>
    <row r="43" spans="1:26" ht="15" thickBot="1" x14ac:dyDescent="0.4">
      <c r="A43" s="2" t="s">
        <v>5</v>
      </c>
      <c r="C43">
        <v>2140000</v>
      </c>
    </row>
    <row r="44" spans="1:26" x14ac:dyDescent="0.35">
      <c r="A44" s="4" t="s">
        <v>6</v>
      </c>
      <c r="B44" s="5"/>
      <c r="C44" s="6">
        <f>AVERAGE(W59:W61)</f>
        <v>-16.483354034794001</v>
      </c>
    </row>
    <row r="45" spans="1:26" ht="15" thickBot="1" x14ac:dyDescent="0.4">
      <c r="A45" s="7" t="s">
        <v>7</v>
      </c>
      <c r="B45" s="8"/>
      <c r="C45" s="9">
        <f>AVERAGE(Y59:Y61)</f>
        <v>-16.43064060206758</v>
      </c>
    </row>
    <row r="46" spans="1:26" x14ac:dyDescent="0.35">
      <c r="A46" s="2"/>
    </row>
    <row r="47" spans="1:26" ht="15" thickBot="1" x14ac:dyDescent="0.4"/>
    <row r="48" spans="1:26" x14ac:dyDescent="0.35">
      <c r="A48" s="11" t="s">
        <v>8</v>
      </c>
      <c r="B48" s="12"/>
      <c r="C48" s="12"/>
      <c r="D48" s="12"/>
      <c r="E48" s="13" t="s">
        <v>9</v>
      </c>
      <c r="F48" s="13"/>
      <c r="G48" s="13"/>
      <c r="H48" s="14"/>
      <c r="I48" s="14"/>
      <c r="J48" s="14"/>
      <c r="K48" s="14"/>
      <c r="L48" s="15" t="s">
        <v>10</v>
      </c>
      <c r="M48" s="15"/>
      <c r="N48" s="15"/>
      <c r="O48" s="16" t="s">
        <v>10</v>
      </c>
      <c r="P48" s="16"/>
      <c r="Q48" s="16"/>
      <c r="R48" s="17" t="s">
        <v>11</v>
      </c>
      <c r="S48" s="18"/>
      <c r="T48" s="18"/>
      <c r="U48" s="18"/>
      <c r="V48" s="19" t="s">
        <v>12</v>
      </c>
      <c r="W48" s="20"/>
      <c r="X48" s="20"/>
      <c r="Y48" s="20"/>
      <c r="Z48" s="21"/>
    </row>
    <row r="49" spans="1:26" ht="15" thickBot="1" x14ac:dyDescent="0.4">
      <c r="A49" s="22" t="s">
        <v>13</v>
      </c>
      <c r="B49" s="23" t="s">
        <v>14</v>
      </c>
      <c r="C49" s="23" t="s">
        <v>15</v>
      </c>
      <c r="D49" s="23" t="s">
        <v>16</v>
      </c>
      <c r="E49" s="24" t="s">
        <v>17</v>
      </c>
      <c r="F49" s="24" t="s">
        <v>18</v>
      </c>
      <c r="G49" s="24" t="s">
        <v>19</v>
      </c>
      <c r="H49" s="24" t="s">
        <v>20</v>
      </c>
      <c r="I49" s="24" t="s">
        <v>37</v>
      </c>
      <c r="J49" s="24" t="s">
        <v>21</v>
      </c>
      <c r="K49" s="24" t="s">
        <v>22</v>
      </c>
      <c r="L49" s="25" t="s">
        <v>21</v>
      </c>
      <c r="M49" s="25" t="s">
        <v>23</v>
      </c>
      <c r="N49" s="25" t="s">
        <v>24</v>
      </c>
      <c r="O49" s="26" t="s">
        <v>25</v>
      </c>
      <c r="P49" s="26" t="s">
        <v>26</v>
      </c>
      <c r="Q49" s="26" t="s">
        <v>27</v>
      </c>
      <c r="R49" s="27" t="s">
        <v>28</v>
      </c>
      <c r="S49" s="27" t="s">
        <v>29</v>
      </c>
      <c r="T49" s="27" t="s">
        <v>30</v>
      </c>
      <c r="U49" s="27" t="s">
        <v>31</v>
      </c>
      <c r="V49" s="29" t="s">
        <v>32</v>
      </c>
      <c r="W49" s="29" t="s">
        <v>33</v>
      </c>
      <c r="X49" s="29" t="s">
        <v>34</v>
      </c>
      <c r="Y49" s="29" t="s">
        <v>35</v>
      </c>
      <c r="Z49" s="30" t="s">
        <v>36</v>
      </c>
    </row>
    <row r="50" spans="1:26" x14ac:dyDescent="0.35">
      <c r="A50" s="35">
        <v>1</v>
      </c>
      <c r="B50" s="38">
        <v>43888</v>
      </c>
      <c r="C50" s="33">
        <v>0.63541666666666663</v>
      </c>
      <c r="D50" s="37">
        <f>45/60</f>
        <v>0.75</v>
      </c>
      <c r="E50" s="35">
        <v>5.274</v>
      </c>
      <c r="F50" s="35">
        <v>12.608000000000001</v>
      </c>
      <c r="G50" s="31">
        <f t="shared" ref="G50:G61" si="14">F50-E50</f>
        <v>7.3340000000000005</v>
      </c>
      <c r="H50" s="35">
        <v>7.98</v>
      </c>
      <c r="I50" s="35"/>
      <c r="J50" s="35">
        <v>2.843</v>
      </c>
      <c r="K50" s="35">
        <v>0.05</v>
      </c>
      <c r="L50" s="35">
        <v>0.50700000000000001</v>
      </c>
      <c r="M50" s="35">
        <v>4.9960000000000004</v>
      </c>
      <c r="N50" s="31">
        <f t="shared" ref="N50:N61" si="15">((J50+K50)/J50)*(M50/L50)</f>
        <v>10.027347004754404</v>
      </c>
      <c r="O50" s="35">
        <v>0.3</v>
      </c>
      <c r="P50" s="35">
        <v>10.032</v>
      </c>
      <c r="Q50" s="31">
        <f t="shared" ref="Q50:Q61" si="16">P50/O50</f>
        <v>33.440000000000005</v>
      </c>
      <c r="R50" s="31">
        <v>2.6331699999999998</v>
      </c>
      <c r="S50" s="31">
        <f t="shared" ref="S50:S61" si="17">R50/24.305*N50</f>
        <v>1.0863488711174305</v>
      </c>
      <c r="T50" s="31">
        <v>3.3262999999999998</v>
      </c>
      <c r="U50" s="31">
        <f>T50/60.08*Q50</f>
        <v>1.8513893475366181</v>
      </c>
      <c r="V50" s="31">
        <f t="shared" ref="V50:V61" si="18">((($P$31-S50)*10^(-6))*$C$42)/($C$43*$C$41*4)</f>
        <v>2.0532828439509019E-17</v>
      </c>
      <c r="W50" s="31">
        <f t="shared" ref="W50:W61" si="19">LOG(V50)</f>
        <v>-16.687551221547011</v>
      </c>
      <c r="X50" s="31">
        <f t="shared" ref="X50:X61" si="20">((($R$32-U50)*10^(-6))*$C$42)/($C$43*$C$41*6)</f>
        <v>8.9985802455806213E-17</v>
      </c>
      <c r="Y50" s="31">
        <f t="shared" ref="Y50:Y61" si="21">LOG(X50)</f>
        <v>-16.045826006132778</v>
      </c>
      <c r="Z50" s="31">
        <f t="shared" ref="Z50:Z61" si="22">($R$31-U50)/($P$31-S50)</f>
        <v>2.9964897232874299</v>
      </c>
    </row>
    <row r="51" spans="1:26" x14ac:dyDescent="0.35">
      <c r="A51" s="35">
        <v>2</v>
      </c>
      <c r="B51" s="32">
        <v>43889</v>
      </c>
      <c r="C51" s="33">
        <v>0.375</v>
      </c>
      <c r="D51" s="37">
        <f>D52-5-0.75</f>
        <v>18.5</v>
      </c>
      <c r="E51" s="35">
        <v>5.2080000000000002</v>
      </c>
      <c r="F51" s="35">
        <v>12.757</v>
      </c>
      <c r="G51" s="31">
        <f t="shared" si="14"/>
        <v>7.5489999999999995</v>
      </c>
      <c r="H51" s="35">
        <v>8.01</v>
      </c>
      <c r="I51" s="35"/>
      <c r="J51" s="35">
        <v>3.266</v>
      </c>
      <c r="K51" s="35">
        <v>4.8000000000000001E-2</v>
      </c>
      <c r="L51" s="35">
        <v>0.503</v>
      </c>
      <c r="M51" s="35">
        <v>4.9820000000000002</v>
      </c>
      <c r="N51" s="31">
        <f t="shared" si="15"/>
        <v>10.050138848476807</v>
      </c>
      <c r="O51" s="35">
        <v>0.30099999999999999</v>
      </c>
      <c r="P51" s="35">
        <v>10.063000000000001</v>
      </c>
      <c r="Q51" s="31">
        <f t="shared" si="16"/>
        <v>33.431893687707642</v>
      </c>
      <c r="R51" s="35">
        <v>2.7366999999999999</v>
      </c>
      <c r="S51" s="31">
        <f t="shared" si="17"/>
        <v>1.1316278538007192</v>
      </c>
      <c r="T51" s="35">
        <v>3.4826000000000001</v>
      </c>
      <c r="U51" s="31">
        <f t="shared" ref="U51:U61" si="23">T51/60.08*Q51</f>
        <v>1.9379146630627604</v>
      </c>
      <c r="V51" s="31">
        <f t="shared" si="18"/>
        <v>1.2900456942581934E-17</v>
      </c>
      <c r="W51" s="31">
        <f t="shared" si="19"/>
        <v>-16.889394906435072</v>
      </c>
      <c r="X51" s="31">
        <f t="shared" si="20"/>
        <v>8.0262478110475389E-17</v>
      </c>
      <c r="Y51" s="31">
        <f t="shared" si="21"/>
        <v>-16.095487435518073</v>
      </c>
      <c r="Z51" s="31">
        <f t="shared" si="22"/>
        <v>3.6387411004079837</v>
      </c>
    </row>
    <row r="52" spans="1:26" x14ac:dyDescent="0.35">
      <c r="A52" s="31">
        <v>3</v>
      </c>
      <c r="B52" s="38">
        <v>43889</v>
      </c>
      <c r="C52" s="36">
        <v>0.61458333333333337</v>
      </c>
      <c r="D52" s="37">
        <f>24+15/60</f>
        <v>24.25</v>
      </c>
      <c r="E52" s="35">
        <v>5.2480000000000002</v>
      </c>
      <c r="F52" s="35">
        <v>12.691000000000001</v>
      </c>
      <c r="G52" s="31">
        <f t="shared" si="14"/>
        <v>7.4430000000000005</v>
      </c>
      <c r="H52" s="35">
        <v>-41</v>
      </c>
      <c r="I52" s="35">
        <v>7.8919954053167043</v>
      </c>
      <c r="J52" s="35">
        <v>3.1960000000000002</v>
      </c>
      <c r="K52" s="35">
        <v>5.8000000000000003E-2</v>
      </c>
      <c r="L52" s="35">
        <v>0.50800000000000001</v>
      </c>
      <c r="M52" s="35">
        <v>4.9779999999999998</v>
      </c>
      <c r="N52" s="31">
        <f t="shared" si="15"/>
        <v>9.9770456180461782</v>
      </c>
      <c r="O52" s="35">
        <v>0.30299999999999999</v>
      </c>
      <c r="P52" s="35">
        <v>10.041</v>
      </c>
      <c r="Q52" s="31">
        <f t="shared" si="16"/>
        <v>33.138613861386141</v>
      </c>
      <c r="R52" s="35">
        <v>2.8838599999999999</v>
      </c>
      <c r="S52" s="31">
        <f t="shared" si="17"/>
        <v>1.1838059154930529</v>
      </c>
      <c r="T52" s="35">
        <v>3.5863</v>
      </c>
      <c r="U52" s="31">
        <f t="shared" si="23"/>
        <v>1.9781126979209243</v>
      </c>
      <c r="V52" s="31">
        <f t="shared" si="18"/>
        <v>4.1051544153356191E-18</v>
      </c>
      <c r="W52" s="31">
        <f t="shared" si="19"/>
        <v>-17.386670502255406</v>
      </c>
      <c r="X52" s="31">
        <f t="shared" si="20"/>
        <v>7.574520442480186E-17</v>
      </c>
      <c r="Y52" s="31">
        <f t="shared" si="21"/>
        <v>-16.120644857977794</v>
      </c>
      <c r="Z52" s="31">
        <f t="shared" si="22"/>
        <v>9.7841660261206886</v>
      </c>
    </row>
    <row r="53" spans="1:26" x14ac:dyDescent="0.35">
      <c r="A53" s="35">
        <v>4</v>
      </c>
      <c r="B53" s="32">
        <v>43890</v>
      </c>
      <c r="C53" s="36">
        <v>0.41319444444444442</v>
      </c>
      <c r="D53" s="37">
        <f>D51+24+55/60</f>
        <v>43.416666666666664</v>
      </c>
      <c r="E53" s="35">
        <v>5.2759999999999998</v>
      </c>
      <c r="F53" s="35">
        <v>11.779</v>
      </c>
      <c r="G53" s="31">
        <f t="shared" si="14"/>
        <v>6.5030000000000001</v>
      </c>
      <c r="H53" s="35">
        <v>-41</v>
      </c>
      <c r="I53" s="35">
        <v>7.8919954053167043</v>
      </c>
      <c r="J53" s="35">
        <v>2.7269999999999999</v>
      </c>
      <c r="K53" s="35">
        <v>6.5000000000000002E-2</v>
      </c>
      <c r="L53" s="35">
        <v>0.51</v>
      </c>
      <c r="M53" s="35">
        <v>5.0069999999999997</v>
      </c>
      <c r="N53" s="31">
        <f t="shared" si="15"/>
        <v>10.051657714791085</v>
      </c>
      <c r="O53" s="35">
        <v>0.30099999999999999</v>
      </c>
      <c r="P53" s="35">
        <v>10.076000000000001</v>
      </c>
      <c r="Q53" s="31">
        <f t="shared" si="16"/>
        <v>33.475083056478411</v>
      </c>
      <c r="R53" s="35">
        <v>2.6406399999999999</v>
      </c>
      <c r="S53" s="31">
        <f t="shared" si="17"/>
        <v>1.0920719781109209</v>
      </c>
      <c r="T53" s="35">
        <v>3.7854999999999999</v>
      </c>
      <c r="U53" s="31">
        <f t="shared" si="23"/>
        <v>2.1091865331274802</v>
      </c>
      <c r="V53" s="31">
        <f t="shared" si="18"/>
        <v>1.9568123048566082E-17</v>
      </c>
      <c r="W53" s="31">
        <f t="shared" si="19"/>
        <v>-16.7084508293621</v>
      </c>
      <c r="X53" s="31">
        <f t="shared" si="20"/>
        <v>6.1015718549483389E-17</v>
      </c>
      <c r="Y53" s="31">
        <f t="shared" si="21"/>
        <v>-16.214558269908451</v>
      </c>
      <c r="Z53" s="31">
        <f t="shared" si="22"/>
        <v>0.92350623024381651</v>
      </c>
    </row>
    <row r="54" spans="1:26" x14ac:dyDescent="0.35">
      <c r="A54" s="35">
        <v>5</v>
      </c>
      <c r="B54" s="32">
        <v>43890</v>
      </c>
      <c r="C54" s="36">
        <v>0.67361111111111116</v>
      </c>
      <c r="D54" s="37">
        <f>D53+6+15/60</f>
        <v>49.666666666666664</v>
      </c>
      <c r="E54" s="35">
        <v>5.2729999999999997</v>
      </c>
      <c r="F54" s="35">
        <v>13.47</v>
      </c>
      <c r="G54" s="31">
        <f t="shared" si="14"/>
        <v>8.197000000000001</v>
      </c>
      <c r="H54" s="35">
        <v>-45</v>
      </c>
      <c r="I54" s="35">
        <v>7.9607712504102386</v>
      </c>
      <c r="J54" s="35">
        <v>3.585</v>
      </c>
      <c r="K54" s="35">
        <v>0.11700000000000001</v>
      </c>
      <c r="L54" s="35">
        <v>0.51200000000000001</v>
      </c>
      <c r="M54" s="35">
        <v>4.992</v>
      </c>
      <c r="N54" s="31">
        <f t="shared" si="15"/>
        <v>10.068200836820083</v>
      </c>
      <c r="O54" s="35">
        <v>0.30199999999999999</v>
      </c>
      <c r="P54" s="35">
        <v>10.034000000000001</v>
      </c>
      <c r="Q54" s="31">
        <f t="shared" si="16"/>
        <v>33.225165562913908</v>
      </c>
      <c r="R54" s="35">
        <v>2.4895900000000002</v>
      </c>
      <c r="S54" s="31">
        <f t="shared" si="17"/>
        <v>1.0312977626553759</v>
      </c>
      <c r="T54" s="35">
        <v>3.8586</v>
      </c>
      <c r="U54" s="31">
        <f t="shared" si="23"/>
        <v>2.1338652436927363</v>
      </c>
      <c r="V54" s="31">
        <f t="shared" si="18"/>
        <v>2.981242100542374E-17</v>
      </c>
      <c r="W54" s="31">
        <f t="shared" si="19"/>
        <v>-16.525602754373178</v>
      </c>
      <c r="X54" s="31">
        <f t="shared" si="20"/>
        <v>5.8242436466761268E-17</v>
      </c>
      <c r="Y54" s="31">
        <f t="shared" si="21"/>
        <v>-16.234760465392537</v>
      </c>
      <c r="Z54" s="31">
        <f t="shared" si="22"/>
        <v>0.46662967837849667</v>
      </c>
    </row>
    <row r="55" spans="1:26" x14ac:dyDescent="0.35">
      <c r="A55" s="31">
        <v>6</v>
      </c>
      <c r="B55" s="32">
        <v>43891</v>
      </c>
      <c r="C55" s="36">
        <v>0.43402777777777773</v>
      </c>
      <c r="D55" s="37">
        <f>D53+24+0.5</f>
        <v>67.916666666666657</v>
      </c>
      <c r="E55" s="35">
        <v>5.1820000000000004</v>
      </c>
      <c r="F55" s="35"/>
      <c r="G55" s="31">
        <f t="shared" si="14"/>
        <v>-5.1820000000000004</v>
      </c>
      <c r="H55" s="35"/>
      <c r="I55" s="35"/>
      <c r="J55" s="35"/>
      <c r="K55" s="35"/>
      <c r="L55" s="35"/>
      <c r="M55" s="35"/>
      <c r="N55" s="31"/>
      <c r="O55" s="35"/>
      <c r="P55" s="35"/>
      <c r="Q55" s="31"/>
      <c r="R55" s="35"/>
      <c r="S55" s="31"/>
      <c r="T55" s="35"/>
      <c r="U55" s="31"/>
      <c r="V55" s="31">
        <f t="shared" si="18"/>
        <v>2.036513012557223E-16</v>
      </c>
      <c r="W55" s="31">
        <f t="shared" si="19"/>
        <v>-15.691112810589649</v>
      </c>
      <c r="X55" s="31">
        <f t="shared" si="20"/>
        <v>2.9803657934260112E-16</v>
      </c>
      <c r="Y55" s="31">
        <f t="shared" si="21"/>
        <v>-15.525730429777063</v>
      </c>
      <c r="Z55" s="31">
        <f t="shared" si="22"/>
        <v>1.8345209308045474</v>
      </c>
    </row>
    <row r="56" spans="1:26" x14ac:dyDescent="0.35">
      <c r="A56" s="35">
        <v>7</v>
      </c>
      <c r="B56" s="32">
        <v>43891</v>
      </c>
      <c r="C56" s="36">
        <v>0.66666666666666663</v>
      </c>
      <c r="D56" s="37">
        <f>D54+25-10/60</f>
        <v>74.499999999999986</v>
      </c>
      <c r="E56" s="35">
        <v>5.27</v>
      </c>
      <c r="F56" s="35">
        <v>12.712999999999999</v>
      </c>
      <c r="G56" s="31">
        <f t="shared" si="14"/>
        <v>7.4429999999999996</v>
      </c>
      <c r="H56" s="35">
        <v>-41</v>
      </c>
      <c r="I56" s="35">
        <v>7.9032764689953954</v>
      </c>
      <c r="J56" s="35">
        <v>3.351</v>
      </c>
      <c r="K56" s="35">
        <v>5.7000000000000002E-2</v>
      </c>
      <c r="L56" s="35">
        <v>0.50600000000000001</v>
      </c>
      <c r="M56" s="35">
        <v>4.9880000000000004</v>
      </c>
      <c r="N56" s="31">
        <f t="shared" si="15"/>
        <v>10.02538561434673</v>
      </c>
      <c r="O56" s="35">
        <v>0.30199999999999999</v>
      </c>
      <c r="P56" s="35">
        <v>10.045</v>
      </c>
      <c r="Q56" s="31">
        <f t="shared" si="16"/>
        <v>33.26158940397351</v>
      </c>
      <c r="R56" s="35">
        <v>2.45336</v>
      </c>
      <c r="S56" s="31">
        <f t="shared" si="17"/>
        <v>1.0119679099285617</v>
      </c>
      <c r="T56" s="35">
        <v>4.0057</v>
      </c>
      <c r="U56" s="31">
        <f t="shared" si="23"/>
        <v>2.217642288207335</v>
      </c>
      <c r="V56" s="31">
        <f t="shared" si="18"/>
        <v>3.3070723384341486E-17</v>
      </c>
      <c r="W56" s="31">
        <f t="shared" si="19"/>
        <v>-16.480556305286122</v>
      </c>
      <c r="X56" s="31">
        <f t="shared" si="20"/>
        <v>4.8827950410798314E-17</v>
      </c>
      <c r="Y56" s="31">
        <f t="shared" si="21"/>
        <v>-16.311331505164208</v>
      </c>
      <c r="Z56" s="31">
        <f t="shared" si="22"/>
        <v>-6.3611749901675164E-3</v>
      </c>
    </row>
    <row r="57" spans="1:26" x14ac:dyDescent="0.35">
      <c r="A57" s="35">
        <v>8</v>
      </c>
      <c r="B57" s="32">
        <v>43892</v>
      </c>
      <c r="C57" s="36">
        <v>0.35416666666666669</v>
      </c>
      <c r="D57" s="37">
        <f>D56+6+8.5</f>
        <v>88.999999999999986</v>
      </c>
      <c r="E57" s="35">
        <v>5.27</v>
      </c>
      <c r="F57" s="35">
        <v>12.958</v>
      </c>
      <c r="G57" s="31">
        <f t="shared" si="14"/>
        <v>7.6880000000000006</v>
      </c>
      <c r="H57" s="35">
        <v>-81</v>
      </c>
      <c r="I57" s="35">
        <v>8.584218792309775</v>
      </c>
      <c r="J57" s="35">
        <v>3.1629999999999998</v>
      </c>
      <c r="K57" s="35">
        <v>8.2000000000000003E-2</v>
      </c>
      <c r="L57" s="35">
        <v>0.50900000000000001</v>
      </c>
      <c r="M57" s="35">
        <v>4.9870000000000001</v>
      </c>
      <c r="N57" s="31">
        <f t="shared" si="15"/>
        <v>10.051643915682744</v>
      </c>
      <c r="O57" s="35">
        <v>0.30399999999999999</v>
      </c>
      <c r="P57" s="35">
        <v>10.055999999999999</v>
      </c>
      <c r="Q57" s="31">
        <f t="shared" si="16"/>
        <v>33.078947368421048</v>
      </c>
      <c r="R57" s="35">
        <v>2.4285800000000002</v>
      </c>
      <c r="S57" s="31">
        <f t="shared" si="17"/>
        <v>1.0043703509874018</v>
      </c>
      <c r="T57" s="35">
        <v>4.0388999999999999</v>
      </c>
      <c r="U57" s="31">
        <f t="shared" si="23"/>
        <v>2.2237443496390776</v>
      </c>
      <c r="V57" s="31">
        <f t="shared" si="18"/>
        <v>3.4351392446946863E-17</v>
      </c>
      <c r="W57" s="31">
        <f t="shared" si="19"/>
        <v>-16.464055653953231</v>
      </c>
      <c r="X57" s="31">
        <f t="shared" si="20"/>
        <v>4.814222829449997E-17</v>
      </c>
      <c r="Y57" s="31">
        <f t="shared" si="21"/>
        <v>-16.317473811991839</v>
      </c>
      <c r="Z57" s="31">
        <f t="shared" si="22"/>
        <v>-3.6067004703235574E-2</v>
      </c>
    </row>
    <row r="58" spans="1:26" x14ac:dyDescent="0.35">
      <c r="A58" s="31">
        <v>9</v>
      </c>
      <c r="B58" s="32">
        <v>43892</v>
      </c>
      <c r="C58" s="36">
        <v>0.64236111111111105</v>
      </c>
      <c r="D58" s="37">
        <f>D57+7-5/60</f>
        <v>95.916666666666657</v>
      </c>
      <c r="E58" s="35">
        <v>5.2640000000000002</v>
      </c>
      <c r="F58" s="35">
        <v>13.346</v>
      </c>
      <c r="G58" s="31">
        <f t="shared" si="14"/>
        <v>8.0820000000000007</v>
      </c>
      <c r="H58" s="35">
        <v>-73</v>
      </c>
      <c r="I58" s="35">
        <v>8.4480303276468991</v>
      </c>
      <c r="J58" s="35">
        <v>2.99</v>
      </c>
      <c r="K58" s="35">
        <v>5.8000000000000003E-2</v>
      </c>
      <c r="L58" s="35">
        <v>0.50800000000000001</v>
      </c>
      <c r="M58" s="35">
        <v>4.9950000000000001</v>
      </c>
      <c r="N58" s="31">
        <f t="shared" si="15"/>
        <v>10.023411371237458</v>
      </c>
      <c r="O58" s="35">
        <v>0.30299999999999999</v>
      </c>
      <c r="P58" s="35">
        <v>10.050000000000001</v>
      </c>
      <c r="Q58" s="31">
        <f t="shared" si="16"/>
        <v>33.168316831683171</v>
      </c>
      <c r="R58" s="35">
        <v>2.43058</v>
      </c>
      <c r="S58" s="31">
        <f t="shared" si="17"/>
        <v>1.0023741292204214</v>
      </c>
      <c r="T58" s="35">
        <v>4.0582000000000003</v>
      </c>
      <c r="U58" s="31">
        <f t="shared" si="23"/>
        <v>2.2404071798657896</v>
      </c>
      <c r="V58" s="31">
        <f t="shared" si="18"/>
        <v>3.4687882032466413E-17</v>
      </c>
      <c r="W58" s="31">
        <f t="shared" si="19"/>
        <v>-16.459822216436212</v>
      </c>
      <c r="X58" s="31">
        <f t="shared" si="20"/>
        <v>4.6269734656998566E-17</v>
      </c>
      <c r="Y58" s="31">
        <f t="shared" si="21"/>
        <v>-16.334702991041095</v>
      </c>
      <c r="Z58" s="31">
        <f t="shared" si="22"/>
        <v>-0.11668894299774094</v>
      </c>
    </row>
    <row r="59" spans="1:26" x14ac:dyDescent="0.35">
      <c r="A59" s="35">
        <v>10</v>
      </c>
      <c r="B59" s="32">
        <v>43893</v>
      </c>
      <c r="C59" s="36">
        <v>0.36458333333333331</v>
      </c>
      <c r="D59" s="37">
        <f>D57+24+15/60</f>
        <v>113.24999999999999</v>
      </c>
      <c r="E59" s="35">
        <v>5.2590000000000003</v>
      </c>
      <c r="F59" s="35">
        <v>12.901</v>
      </c>
      <c r="G59" s="31">
        <f t="shared" si="14"/>
        <v>7.6419999999999995</v>
      </c>
      <c r="H59" s="35">
        <v>-69</v>
      </c>
      <c r="I59" s="35">
        <v>8.3799360953154611</v>
      </c>
      <c r="J59" s="35">
        <v>3.5939999999999999</v>
      </c>
      <c r="K59" s="35">
        <v>5.6000000000000001E-2</v>
      </c>
      <c r="L59" s="35">
        <v>0.50700000000000001</v>
      </c>
      <c r="M59" s="35">
        <v>4.9779999999999998</v>
      </c>
      <c r="N59" s="31">
        <f t="shared" si="15"/>
        <v>9.9715282648376267</v>
      </c>
      <c r="O59" s="35">
        <v>0.3</v>
      </c>
      <c r="P59" s="35">
        <v>10.029999999999999</v>
      </c>
      <c r="Q59" s="31">
        <f t="shared" si="16"/>
        <v>33.43333333333333</v>
      </c>
      <c r="R59" s="35">
        <v>2.4425599999999998</v>
      </c>
      <c r="S59" s="31">
        <f t="shared" si="17"/>
        <v>1.0021006409611928</v>
      </c>
      <c r="T59" s="35">
        <v>4.1067999999999998</v>
      </c>
      <c r="U59" s="31">
        <f t="shared" si="23"/>
        <v>2.2853530847758545</v>
      </c>
      <c r="V59" s="31">
        <f t="shared" si="18"/>
        <v>3.4733982096354349E-17</v>
      </c>
      <c r="W59" s="31">
        <f t="shared" si="19"/>
        <v>-16.459245423906768</v>
      </c>
      <c r="X59" s="31">
        <f t="shared" si="20"/>
        <v>4.1218916768875188E-17</v>
      </c>
      <c r="Y59" s="31">
        <f t="shared" si="21"/>
        <v>-16.384903425644669</v>
      </c>
      <c r="Z59" s="31">
        <f t="shared" si="22"/>
        <v>-0.33465552809748039</v>
      </c>
    </row>
    <row r="60" spans="1:26" x14ac:dyDescent="0.35">
      <c r="A60" s="35">
        <v>11</v>
      </c>
      <c r="B60" s="32">
        <v>43893</v>
      </c>
      <c r="C60" s="36">
        <v>0.71875</v>
      </c>
      <c r="D60" s="37">
        <f>D59+8.5</f>
        <v>121.74999999999999</v>
      </c>
      <c r="E60" s="35">
        <v>5.27</v>
      </c>
      <c r="F60" s="35">
        <v>12.77</v>
      </c>
      <c r="G60" s="31">
        <f t="shared" si="14"/>
        <v>7.5</v>
      </c>
      <c r="H60" s="35">
        <v>-59</v>
      </c>
      <c r="I60" s="35">
        <v>8.2132619322238689</v>
      </c>
      <c r="J60" s="35">
        <v>3.145</v>
      </c>
      <c r="K60" s="35">
        <v>2.5000000000000001E-2</v>
      </c>
      <c r="L60" s="35">
        <v>0.504</v>
      </c>
      <c r="M60" s="35">
        <v>5.0060000000000002</v>
      </c>
      <c r="N60" s="31">
        <f t="shared" si="15"/>
        <v>10.011494687965277</v>
      </c>
      <c r="O60" s="35">
        <v>0.30099999999999999</v>
      </c>
      <c r="P60" s="35">
        <v>10.14</v>
      </c>
      <c r="Q60" s="31">
        <f t="shared" si="16"/>
        <v>33.687707641196013</v>
      </c>
      <c r="R60" s="35">
        <v>2.4583300000000001</v>
      </c>
      <c r="S60" s="31">
        <f t="shared" si="17"/>
        <v>1.0126129494452039</v>
      </c>
      <c r="T60" s="35">
        <v>4.0651000000000002</v>
      </c>
      <c r="U60" s="31">
        <f t="shared" si="23"/>
        <v>2.2793591932793928</v>
      </c>
      <c r="V60" s="31">
        <f t="shared" si="18"/>
        <v>3.2961993441011105E-17</v>
      </c>
      <c r="W60" s="31">
        <f t="shared" si="19"/>
        <v>-16.48198653137262</v>
      </c>
      <c r="X60" s="31">
        <f t="shared" si="20"/>
        <v>4.1892483236173524E-17</v>
      </c>
      <c r="Y60" s="31">
        <f t="shared" si="21"/>
        <v>-16.377863895456318</v>
      </c>
      <c r="Z60" s="31">
        <f t="shared" si="22"/>
        <v>-0.3219941609244743</v>
      </c>
    </row>
    <row r="61" spans="1:26" x14ac:dyDescent="0.35">
      <c r="A61" s="35">
        <v>12</v>
      </c>
      <c r="B61" s="32">
        <v>43894</v>
      </c>
      <c r="C61" s="36">
        <v>0.3576388888888889</v>
      </c>
      <c r="D61" s="37">
        <f>D59+24-10/60</f>
        <v>137.08333333333334</v>
      </c>
      <c r="E61" s="35">
        <v>5.2610000000000001</v>
      </c>
      <c r="F61" s="35">
        <v>12.568</v>
      </c>
      <c r="G61" s="31">
        <f t="shared" si="14"/>
        <v>7.3069999999999995</v>
      </c>
      <c r="H61" s="35">
        <v>-57</v>
      </c>
      <c r="I61" s="35">
        <v>8.1787323556873712</v>
      </c>
      <c r="J61" s="35">
        <v>3.0169999999999999</v>
      </c>
      <c r="K61" s="35">
        <v>5.6000000000000001E-2</v>
      </c>
      <c r="L61" s="35">
        <v>0.504</v>
      </c>
      <c r="M61" s="35">
        <v>5.0250000000000004</v>
      </c>
      <c r="N61" s="31">
        <f t="shared" si="15"/>
        <v>10.15530051927964</v>
      </c>
      <c r="O61" s="35">
        <v>0.29399999999999998</v>
      </c>
      <c r="P61" s="35">
        <v>10.159000000000001</v>
      </c>
      <c r="Q61" s="31">
        <f t="shared" si="16"/>
        <v>34.554421768707485</v>
      </c>
      <c r="R61" s="35">
        <v>2.4515699999999998</v>
      </c>
      <c r="S61" s="31">
        <f t="shared" si="17"/>
        <v>1.024333680067903</v>
      </c>
      <c r="T61" s="35">
        <v>4.1538000000000004</v>
      </c>
      <c r="U61" s="31">
        <f t="shared" si="23"/>
        <v>2.3890172626973567</v>
      </c>
      <c r="V61" s="31">
        <f t="shared" si="18"/>
        <v>3.0986309248776238E-17</v>
      </c>
      <c r="W61" s="31">
        <f t="shared" si="19"/>
        <v>-16.508830149102607</v>
      </c>
      <c r="X61" s="31">
        <f t="shared" si="20"/>
        <v>2.9569604439949805E-17</v>
      </c>
      <c r="Y61" s="31">
        <f t="shared" si="21"/>
        <v>-16.529154485101753</v>
      </c>
      <c r="Z61" s="31">
        <f t="shared" si="22"/>
        <v>-0.93905625807698168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8A1613-1BC8-49AE-8D3A-964446269D25}">
  <dimension ref="A1:Z85"/>
  <sheetViews>
    <sheetView topLeftCell="A4" workbookViewId="0">
      <selection activeCell="E8" sqref="E8"/>
    </sheetView>
  </sheetViews>
  <sheetFormatPr defaultColWidth="10.81640625" defaultRowHeight="14.5" x14ac:dyDescent="0.35"/>
  <cols>
    <col min="1" max="1" width="14.453125" customWidth="1"/>
    <col min="3" max="3" width="11.81640625" bestFit="1" customWidth="1"/>
    <col min="4" max="4" width="11.6328125" customWidth="1"/>
    <col min="5" max="5" width="12.453125" bestFit="1" customWidth="1"/>
    <col min="6" max="6" width="15.453125" bestFit="1" customWidth="1"/>
    <col min="7" max="7" width="15.36328125" bestFit="1" customWidth="1"/>
    <col min="8" max="8" width="15" bestFit="1" customWidth="1"/>
    <col min="9" max="9" width="15.36328125" bestFit="1" customWidth="1"/>
    <col min="10" max="12" width="15" bestFit="1" customWidth="1"/>
    <col min="13" max="13" width="15.6328125" bestFit="1" customWidth="1"/>
    <col min="16" max="16" width="12.36328125" bestFit="1" customWidth="1"/>
    <col min="17" max="17" width="12.36328125" customWidth="1"/>
    <col min="18" max="18" width="15" bestFit="1" customWidth="1"/>
    <col min="19" max="19" width="11.6328125" customWidth="1"/>
    <col min="20" max="20" width="15" bestFit="1" customWidth="1"/>
    <col min="21" max="21" width="18" bestFit="1" customWidth="1"/>
    <col min="22" max="22" width="21.1796875" bestFit="1" customWidth="1"/>
    <col min="23" max="23" width="16.81640625" bestFit="1" customWidth="1"/>
    <col min="24" max="24" width="20" bestFit="1" customWidth="1"/>
  </cols>
  <sheetData>
    <row r="1" spans="1:26" ht="18.5" x14ac:dyDescent="0.45">
      <c r="A1" s="1" t="s">
        <v>47</v>
      </c>
    </row>
    <row r="2" spans="1:26" x14ac:dyDescent="0.35">
      <c r="A2" s="2" t="s">
        <v>0</v>
      </c>
      <c r="C2" s="3">
        <v>0.60416666666666663</v>
      </c>
    </row>
    <row r="3" spans="1:26" x14ac:dyDescent="0.35">
      <c r="A3" s="2" t="s">
        <v>1</v>
      </c>
    </row>
    <row r="4" spans="1:26" x14ac:dyDescent="0.35">
      <c r="A4" s="2" t="s">
        <v>2</v>
      </c>
    </row>
    <row r="5" spans="1:26" x14ac:dyDescent="0.35">
      <c r="A5" s="2" t="s">
        <v>3</v>
      </c>
      <c r="C5">
        <f>9.138+0.885-9.163</f>
        <v>0.85999999999999943</v>
      </c>
    </row>
    <row r="6" spans="1:26" x14ac:dyDescent="0.35">
      <c r="A6" s="2" t="s">
        <v>4</v>
      </c>
      <c r="C6">
        <f>AVERAGE(G22:G26)/(90*60)</f>
        <v>7.7733333333333322E-4</v>
      </c>
    </row>
    <row r="7" spans="1:26" ht="15" thickBot="1" x14ac:dyDescent="0.4">
      <c r="A7" s="2" t="s">
        <v>5</v>
      </c>
      <c r="C7">
        <v>2140000</v>
      </c>
    </row>
    <row r="8" spans="1:26" x14ac:dyDescent="0.35">
      <c r="A8" s="4" t="s">
        <v>6</v>
      </c>
      <c r="B8" s="5"/>
      <c r="C8" s="6">
        <f>AVERAGE(W23:W25)</f>
        <v>-16.330448087526658</v>
      </c>
    </row>
    <row r="9" spans="1:26" ht="15" thickBot="1" x14ac:dyDescent="0.4">
      <c r="A9" s="7" t="s">
        <v>7</v>
      </c>
      <c r="B9" s="8"/>
      <c r="C9" s="9">
        <f>AVERAGE(Y23:Y25)</f>
        <v>-16.559228363775663</v>
      </c>
    </row>
    <row r="10" spans="1:26" x14ac:dyDescent="0.35">
      <c r="A10" s="10"/>
    </row>
    <row r="11" spans="1:26" x14ac:dyDescent="0.35">
      <c r="A11" s="2"/>
    </row>
    <row r="12" spans="1:26" ht="15" thickBot="1" x14ac:dyDescent="0.4"/>
    <row r="13" spans="1:26" x14ac:dyDescent="0.35">
      <c r="A13" s="11" t="s">
        <v>8</v>
      </c>
      <c r="B13" s="12"/>
      <c r="C13" s="12"/>
      <c r="D13" s="12"/>
      <c r="E13" s="13" t="s">
        <v>9</v>
      </c>
      <c r="F13" s="13"/>
      <c r="G13" s="13"/>
      <c r="H13" s="14"/>
      <c r="I13" s="14"/>
      <c r="J13" s="14"/>
      <c r="K13" s="14"/>
      <c r="L13" s="15" t="s">
        <v>10</v>
      </c>
      <c r="M13" s="15"/>
      <c r="N13" s="15"/>
      <c r="O13" s="16" t="s">
        <v>10</v>
      </c>
      <c r="P13" s="16"/>
      <c r="Q13" s="16"/>
      <c r="R13" s="17" t="s">
        <v>11</v>
      </c>
      <c r="S13" s="18"/>
      <c r="T13" s="18"/>
      <c r="U13" s="18"/>
      <c r="V13" s="19" t="s">
        <v>12</v>
      </c>
      <c r="W13" s="20"/>
      <c r="X13" s="20"/>
      <c r="Y13" s="20"/>
      <c r="Z13" s="21"/>
    </row>
    <row r="14" spans="1:26" ht="15" thickBot="1" x14ac:dyDescent="0.4">
      <c r="A14" s="22" t="s">
        <v>13</v>
      </c>
      <c r="B14" s="23" t="s">
        <v>14</v>
      </c>
      <c r="C14" s="23" t="s">
        <v>15</v>
      </c>
      <c r="D14" s="23" t="s">
        <v>16</v>
      </c>
      <c r="E14" s="24" t="s">
        <v>17</v>
      </c>
      <c r="F14" s="24" t="s">
        <v>18</v>
      </c>
      <c r="G14" s="24" t="s">
        <v>19</v>
      </c>
      <c r="H14" s="24" t="s">
        <v>20</v>
      </c>
      <c r="I14" s="24" t="s">
        <v>37</v>
      </c>
      <c r="J14" s="24" t="s">
        <v>21</v>
      </c>
      <c r="K14" s="24" t="s">
        <v>22</v>
      </c>
      <c r="L14" s="25" t="s">
        <v>21</v>
      </c>
      <c r="M14" s="25" t="s">
        <v>23</v>
      </c>
      <c r="N14" s="25" t="s">
        <v>24</v>
      </c>
      <c r="O14" s="26" t="s">
        <v>25</v>
      </c>
      <c r="P14" s="26" t="s">
        <v>26</v>
      </c>
      <c r="Q14" s="26" t="s">
        <v>27</v>
      </c>
      <c r="R14" s="28" t="s">
        <v>28</v>
      </c>
      <c r="S14" s="27" t="s">
        <v>29</v>
      </c>
      <c r="T14" s="27" t="s">
        <v>30</v>
      </c>
      <c r="U14" s="27" t="s">
        <v>31</v>
      </c>
      <c r="V14" s="29" t="s">
        <v>32</v>
      </c>
      <c r="W14" s="29" t="s">
        <v>33</v>
      </c>
      <c r="X14" s="29" t="s">
        <v>34</v>
      </c>
      <c r="Y14" s="29" t="s">
        <v>35</v>
      </c>
      <c r="Z14" s="30" t="s">
        <v>36</v>
      </c>
    </row>
    <row r="15" spans="1:26" x14ac:dyDescent="0.35">
      <c r="A15" s="35">
        <v>1</v>
      </c>
      <c r="B15" s="38">
        <v>43888</v>
      </c>
      <c r="C15" s="33">
        <v>0.63541666666666663</v>
      </c>
      <c r="D15" s="37">
        <f>45/60</f>
        <v>0.75</v>
      </c>
      <c r="E15" s="35">
        <v>5.2690000000000001</v>
      </c>
      <c r="F15" s="35">
        <v>9.8840000000000003</v>
      </c>
      <c r="G15" s="31">
        <f t="shared" ref="G15:G26" si="0">F15-E15</f>
        <v>4.6150000000000002</v>
      </c>
      <c r="H15" s="35">
        <v>7.79</v>
      </c>
      <c r="I15" s="35"/>
      <c r="J15" s="35">
        <v>2.0110000000000001</v>
      </c>
      <c r="K15" s="35">
        <v>5.8000000000000003E-2</v>
      </c>
      <c r="L15" s="35">
        <v>0.502</v>
      </c>
      <c r="M15" s="35">
        <v>4.97</v>
      </c>
      <c r="N15" s="31">
        <f t="shared" ref="N15:N26" si="1">((J15+K15)/J15)*(M15/L15)</f>
        <v>10.185939484231151</v>
      </c>
      <c r="O15" s="35">
        <v>0.30099999999999999</v>
      </c>
      <c r="P15" s="35">
        <v>10.042</v>
      </c>
      <c r="Q15" s="31">
        <f t="shared" ref="Q15:Q26" si="2">P15/O15</f>
        <v>33.362126245847179</v>
      </c>
      <c r="R15" s="35">
        <v>2.49207</v>
      </c>
      <c r="S15" s="31">
        <f t="shared" ref="S15:S26" si="3">R15/24.305*N15</f>
        <v>1.0443972108812147</v>
      </c>
      <c r="T15" s="31">
        <v>3.2928999999999999</v>
      </c>
      <c r="U15" s="31">
        <f>T15/60.08*Q15</f>
        <v>1.8285310505151493</v>
      </c>
      <c r="V15" s="31">
        <f>((($O$32-S15)*10^(-6))*$C$6)/($C$7*$C$5*4)</f>
        <v>2.4140332375606112E-17</v>
      </c>
      <c r="W15" s="31">
        <f>LOG(V15)</f>
        <v>-16.617256754624009</v>
      </c>
      <c r="X15" s="31">
        <f>((($Q$32-U15)*10^(-6))*$C$6)/($C$7*$C$5*6)</f>
        <v>5.7978882850163127E-17</v>
      </c>
      <c r="Y15" s="31">
        <f t="shared" ref="Y15:Y26" si="4">LOG(X15)</f>
        <v>-16.236730156981775</v>
      </c>
      <c r="Z15" s="31">
        <f t="shared" ref="Z15:Z26" si="5">($Q$31-U15)/($O$31-S15)</f>
        <v>2.3684495944845869</v>
      </c>
    </row>
    <row r="16" spans="1:26" x14ac:dyDescent="0.35">
      <c r="A16" s="35">
        <v>2</v>
      </c>
      <c r="B16" s="32">
        <v>43889</v>
      </c>
      <c r="C16" s="33">
        <v>0.375</v>
      </c>
      <c r="D16" s="37">
        <f>D17-5-0.75</f>
        <v>18.5</v>
      </c>
      <c r="E16" s="35">
        <v>5.2160000000000002</v>
      </c>
      <c r="F16" s="35">
        <v>9.7919999999999998</v>
      </c>
      <c r="G16" s="31">
        <f t="shared" si="0"/>
        <v>4.5759999999999996</v>
      </c>
      <c r="H16" s="35">
        <v>7.82</v>
      </c>
      <c r="I16" s="35"/>
      <c r="J16" s="35">
        <v>1.94</v>
      </c>
      <c r="K16" s="35">
        <v>4.5999999999999999E-2</v>
      </c>
      <c r="L16" s="35">
        <v>0.50900000000000001</v>
      </c>
      <c r="M16" s="35">
        <v>4.9880000000000004</v>
      </c>
      <c r="N16" s="31">
        <f t="shared" si="1"/>
        <v>10.031968889879083</v>
      </c>
      <c r="O16" s="35">
        <v>0.3</v>
      </c>
      <c r="P16" s="35">
        <v>10.048999999999999</v>
      </c>
      <c r="Q16" s="31">
        <f t="shared" si="2"/>
        <v>33.49666666666667</v>
      </c>
      <c r="R16" s="35">
        <v>2.5456300000000001</v>
      </c>
      <c r="S16" s="31">
        <f t="shared" si="3"/>
        <v>1.0507171761013328</v>
      </c>
      <c r="T16" s="35">
        <v>3.4554999999999998</v>
      </c>
      <c r="U16" s="31">
        <f t="shared" ref="U16:U26" si="6">T16/60.08*Q16</f>
        <v>1.9265601142920552</v>
      </c>
      <c r="V16" s="31">
        <f t="shared" ref="V16:V26" si="7">((($O$32-S16)*10^(-6))*$C$6)/($C$7*$C$5*4)</f>
        <v>2.3472988370076731E-17</v>
      </c>
      <c r="W16" s="31">
        <f t="shared" ref="W16:W26" si="8">LOG(V16)</f>
        <v>-16.629431616408375</v>
      </c>
      <c r="X16" s="31">
        <f t="shared" ref="X16:X26" si="9">((($Q$32-U16)*10^(-6))*$C$6)/($C$7*$C$5*6)</f>
        <v>5.1078095076739927E-17</v>
      </c>
      <c r="Y16" s="31">
        <f t="shared" si="4"/>
        <v>-16.291765307827706</v>
      </c>
      <c r="Z16" s="31">
        <f t="shared" si="5"/>
        <v>1.8408885723156918</v>
      </c>
    </row>
    <row r="17" spans="1:26" x14ac:dyDescent="0.35">
      <c r="A17" s="31">
        <v>3</v>
      </c>
      <c r="B17" s="38">
        <v>43889</v>
      </c>
      <c r="C17" s="36">
        <v>0.61458333333333337</v>
      </c>
      <c r="D17" s="37">
        <f>24+15/60</f>
        <v>24.25</v>
      </c>
      <c r="E17" s="35">
        <v>5.2240000000000002</v>
      </c>
      <c r="F17" s="35">
        <v>9.4529999999999994</v>
      </c>
      <c r="G17" s="31">
        <f t="shared" si="0"/>
        <v>4.2289999999999992</v>
      </c>
      <c r="H17" s="35">
        <v>-23</v>
      </c>
      <c r="I17" s="35">
        <f>(H17-$C$68)/$C$67</f>
        <v>7.5825041023957986</v>
      </c>
      <c r="J17" s="35">
        <v>1.603</v>
      </c>
      <c r="K17" s="35">
        <v>5.2999999999999999E-2</v>
      </c>
      <c r="L17" s="35">
        <v>0.51100000000000001</v>
      </c>
      <c r="M17" s="35">
        <v>5.0019999999999998</v>
      </c>
      <c r="N17" s="31">
        <f t="shared" si="1"/>
        <v>10.112291898873563</v>
      </c>
      <c r="O17" s="35">
        <v>0.30299999999999999</v>
      </c>
      <c r="P17" s="35">
        <v>10.005000000000001</v>
      </c>
      <c r="Q17" s="31">
        <f t="shared" si="2"/>
        <v>33.019801980198025</v>
      </c>
      <c r="R17" s="35">
        <v>2.5767099999999998</v>
      </c>
      <c r="S17" s="31">
        <f t="shared" si="3"/>
        <v>1.0720610433551325</v>
      </c>
      <c r="T17" s="35">
        <v>3.5771000000000002</v>
      </c>
      <c r="U17" s="31">
        <f t="shared" si="6"/>
        <v>1.9659642753556319</v>
      </c>
      <c r="V17" s="31">
        <f t="shared" si="7"/>
        <v>2.1219225671937689E-17</v>
      </c>
      <c r="W17" s="31">
        <f t="shared" si="8"/>
        <v>-16.673270468339506</v>
      </c>
      <c r="X17" s="31">
        <f t="shared" si="9"/>
        <v>4.8304226364616332E-17</v>
      </c>
      <c r="Y17" s="31">
        <f t="shared" si="4"/>
        <v>-16.316014869113264</v>
      </c>
      <c r="Z17" s="31">
        <f t="shared" si="5"/>
        <v>1.8400621149456817</v>
      </c>
    </row>
    <row r="18" spans="1:26" x14ac:dyDescent="0.35">
      <c r="A18" s="35">
        <v>4</v>
      </c>
      <c r="B18" s="32">
        <v>43890</v>
      </c>
      <c r="C18" s="36">
        <v>0.41319444444444442</v>
      </c>
      <c r="D18" s="37">
        <f>D16+24+55/60</f>
        <v>43.416666666666664</v>
      </c>
      <c r="E18" s="35">
        <v>5.2569999999999997</v>
      </c>
      <c r="F18" s="35">
        <v>9.0739999999999998</v>
      </c>
      <c r="G18" s="31">
        <f t="shared" si="0"/>
        <v>3.8170000000000002</v>
      </c>
      <c r="H18" s="35">
        <v>-23</v>
      </c>
      <c r="I18" s="35">
        <f t="shared" ref="I18:I20" si="10">(H18-$C$68)/$C$67</f>
        <v>7.5825041023957986</v>
      </c>
      <c r="J18" s="35">
        <v>1.538</v>
      </c>
      <c r="K18" s="35">
        <v>5.8999999999999997E-2</v>
      </c>
      <c r="L18" s="35">
        <v>0.50900000000000001</v>
      </c>
      <c r="M18" s="35">
        <v>5</v>
      </c>
      <c r="N18" s="31">
        <f t="shared" si="1"/>
        <v>10.200014817804869</v>
      </c>
      <c r="O18" s="35">
        <v>0.30199999999999999</v>
      </c>
      <c r="P18" s="35">
        <v>10.058</v>
      </c>
      <c r="Q18" s="31">
        <f t="shared" si="2"/>
        <v>33.304635761589402</v>
      </c>
      <c r="R18" s="35">
        <v>2.5685699999999998</v>
      </c>
      <c r="S18" s="31">
        <f t="shared" si="3"/>
        <v>1.0779449520908888</v>
      </c>
      <c r="T18" s="35">
        <v>3.6472000000000002</v>
      </c>
      <c r="U18" s="31">
        <f t="shared" si="6"/>
        <v>2.0217820830504141</v>
      </c>
      <c r="V18" s="31">
        <f t="shared" si="7"/>
        <v>2.0597926173106654E-17</v>
      </c>
      <c r="W18" s="31">
        <f t="shared" si="8"/>
        <v>-16.686176502782015</v>
      </c>
      <c r="X18" s="31">
        <f t="shared" si="9"/>
        <v>4.4374913668577053E-17</v>
      </c>
      <c r="Y18" s="31">
        <f t="shared" si="4"/>
        <v>-16.35286247885622</v>
      </c>
      <c r="Z18" s="31">
        <f t="shared" si="5"/>
        <v>1.4945479007867926</v>
      </c>
    </row>
    <row r="19" spans="1:26" x14ac:dyDescent="0.35">
      <c r="A19" s="35">
        <v>5</v>
      </c>
      <c r="B19" s="32">
        <v>43890</v>
      </c>
      <c r="C19" s="36">
        <v>0.67361111111111116</v>
      </c>
      <c r="D19" s="37">
        <f>D18+6+15/60</f>
        <v>49.666666666666664</v>
      </c>
      <c r="E19" s="35">
        <v>5.2750000000000004</v>
      </c>
      <c r="F19" s="35">
        <v>10.063000000000001</v>
      </c>
      <c r="G19" s="31">
        <f t="shared" si="0"/>
        <v>4.7880000000000003</v>
      </c>
      <c r="H19" s="35">
        <v>-28</v>
      </c>
      <c r="I19" s="35">
        <f t="shared" si="10"/>
        <v>7.6684739087627163</v>
      </c>
      <c r="J19" s="35">
        <v>2.0699999999999998</v>
      </c>
      <c r="K19" s="35">
        <v>0.05</v>
      </c>
      <c r="L19" s="35">
        <v>0.50800000000000001</v>
      </c>
      <c r="M19" s="35">
        <v>4.9950000000000001</v>
      </c>
      <c r="N19" s="31">
        <f t="shared" si="1"/>
        <v>10.070181444710714</v>
      </c>
      <c r="O19" s="35">
        <v>0.30099999999999999</v>
      </c>
      <c r="P19" s="35">
        <v>9.9870000000000001</v>
      </c>
      <c r="Q19" s="31">
        <f t="shared" si="2"/>
        <v>33.179401993355484</v>
      </c>
      <c r="R19" s="35">
        <v>2.55986</v>
      </c>
      <c r="S19" s="31">
        <f t="shared" si="3"/>
        <v>1.0606152920410274</v>
      </c>
      <c r="T19" s="35">
        <v>3.7201</v>
      </c>
      <c r="U19" s="31">
        <f t="shared" si="6"/>
        <v>2.0544389706305215</v>
      </c>
      <c r="V19" s="31">
        <f t="shared" si="7"/>
        <v>2.2427816742017249E-17</v>
      </c>
      <c r="W19" s="31">
        <f t="shared" si="8"/>
        <v>-16.649213001184915</v>
      </c>
      <c r="X19" s="31">
        <f t="shared" si="9"/>
        <v>4.2076021464080135E-17</v>
      </c>
      <c r="Y19" s="31">
        <f t="shared" si="4"/>
        <v>-16.375965332016936</v>
      </c>
      <c r="Z19" s="31">
        <f t="shared" si="5"/>
        <v>1.0976715228840774</v>
      </c>
    </row>
    <row r="20" spans="1:26" x14ac:dyDescent="0.35">
      <c r="A20" s="31">
        <v>6</v>
      </c>
      <c r="B20" s="32">
        <v>43891</v>
      </c>
      <c r="C20" s="36">
        <v>0.43402777777777773</v>
      </c>
      <c r="D20" s="37">
        <f>D18+24+0.5</f>
        <v>67.916666666666657</v>
      </c>
      <c r="E20" s="35">
        <v>5.2759999999999998</v>
      </c>
      <c r="F20" s="35">
        <v>9.9589999999999996</v>
      </c>
      <c r="G20" s="31">
        <f t="shared" si="0"/>
        <v>4.6829999999999998</v>
      </c>
      <c r="H20" s="35">
        <v>-52</v>
      </c>
      <c r="I20" s="35">
        <f t="shared" si="10"/>
        <v>8.0811289793239247</v>
      </c>
      <c r="J20" s="35">
        <v>2.1339999999999999</v>
      </c>
      <c r="K20" s="35">
        <v>5.3999999999999999E-2</v>
      </c>
      <c r="L20" s="35">
        <v>0.50900000000000001</v>
      </c>
      <c r="M20" s="35">
        <v>5.0049999999999999</v>
      </c>
      <c r="N20" s="31">
        <f t="shared" si="1"/>
        <v>10.081826099285035</v>
      </c>
      <c r="O20" s="35">
        <v>0.30099999999999999</v>
      </c>
      <c r="P20" s="35">
        <v>10.010999999999999</v>
      </c>
      <c r="Q20" s="31">
        <f t="shared" si="2"/>
        <v>33.259136212624583</v>
      </c>
      <c r="R20" s="35">
        <v>2.5258699999999998</v>
      </c>
      <c r="S20" s="31">
        <f t="shared" si="3"/>
        <v>1.0477425257930915</v>
      </c>
      <c r="T20" s="35">
        <v>3.9256000000000002</v>
      </c>
      <c r="U20" s="31">
        <f t="shared" si="6"/>
        <v>2.1731369027343388</v>
      </c>
      <c r="V20" s="31">
        <f t="shared" si="7"/>
        <v>2.3787090581499005E-17</v>
      </c>
      <c r="W20" s="31">
        <f t="shared" si="8"/>
        <v>-16.623658673627716</v>
      </c>
      <c r="X20" s="31">
        <f t="shared" si="9"/>
        <v>3.3720241993853194E-17</v>
      </c>
      <c r="Y20" s="31">
        <f t="shared" si="4"/>
        <v>-16.472109317314853</v>
      </c>
      <c r="Z20" s="31">
        <f t="shared" si="5"/>
        <v>0.26965549234793296</v>
      </c>
    </row>
    <row r="21" spans="1:26" x14ac:dyDescent="0.35">
      <c r="A21" s="35">
        <v>7</v>
      </c>
      <c r="B21" s="32">
        <v>43891</v>
      </c>
      <c r="C21" s="36">
        <v>0.66666666666666663</v>
      </c>
      <c r="D21" s="37">
        <f>D19+25-10/60</f>
        <v>74.499999999999986</v>
      </c>
      <c r="E21" s="35">
        <v>5.2590000000000003</v>
      </c>
      <c r="F21" s="35">
        <v>9.56</v>
      </c>
      <c r="G21" s="31">
        <f t="shared" si="0"/>
        <v>4.3010000000000002</v>
      </c>
      <c r="H21" s="35">
        <v>-48</v>
      </c>
      <c r="I21" s="35">
        <f>(H21-$C$76)/$C$75</f>
        <v>8.0224413755754114</v>
      </c>
      <c r="J21" s="35">
        <v>1.8240000000000001</v>
      </c>
      <c r="K21" s="35">
        <v>6.6000000000000003E-2</v>
      </c>
      <c r="L21" s="35">
        <v>0.50800000000000001</v>
      </c>
      <c r="M21" s="35">
        <v>5.9980000000000002</v>
      </c>
      <c r="N21" s="31">
        <f t="shared" si="1"/>
        <v>12.234316721922919</v>
      </c>
      <c r="O21" s="35">
        <v>0.30099999999999999</v>
      </c>
      <c r="P21" s="35">
        <v>10.054</v>
      </c>
      <c r="Q21" s="31">
        <f t="shared" si="2"/>
        <v>33.401993355481729</v>
      </c>
      <c r="R21" s="35">
        <v>2.4345699999999999</v>
      </c>
      <c r="S21" s="31"/>
      <c r="T21" s="35">
        <v>3.8622000000000001</v>
      </c>
      <c r="U21" s="31">
        <f t="shared" si="6"/>
        <v>2.1472233478285876</v>
      </c>
      <c r="V21" s="31">
        <f t="shared" si="7"/>
        <v>1.3442135352023923E-16</v>
      </c>
      <c r="W21" s="31">
        <f t="shared" si="8"/>
        <v>-15.871531735899891</v>
      </c>
      <c r="X21" s="31">
        <f t="shared" si="9"/>
        <v>3.5544435105260487E-17</v>
      </c>
      <c r="Y21" s="31">
        <f t="shared" si="4"/>
        <v>-16.449228383464657</v>
      </c>
      <c r="Z21" s="31">
        <f t="shared" si="5"/>
        <v>5.7253134136365916E-2</v>
      </c>
    </row>
    <row r="22" spans="1:26" x14ac:dyDescent="0.35">
      <c r="A22" s="35">
        <v>8</v>
      </c>
      <c r="B22" s="32">
        <v>43892</v>
      </c>
      <c r="C22" s="36">
        <v>0.35416666666666669</v>
      </c>
      <c r="D22" s="37">
        <f>D21+6+8.5</f>
        <v>88.999999999999986</v>
      </c>
      <c r="E22" s="35">
        <v>5.2640000000000002</v>
      </c>
      <c r="F22" s="35">
        <v>9.577</v>
      </c>
      <c r="G22" s="31">
        <f t="shared" si="0"/>
        <v>4.3129999999999997</v>
      </c>
      <c r="H22" s="35">
        <v>-54</v>
      </c>
      <c r="I22" s="35">
        <f>(H22-$C$76)/$C$75</f>
        <v>8.1245827240725692</v>
      </c>
      <c r="J22" s="35">
        <v>1.706</v>
      </c>
      <c r="K22" s="35">
        <v>5.2999999999999999E-2</v>
      </c>
      <c r="L22" s="35">
        <v>0.51</v>
      </c>
      <c r="M22" s="35">
        <v>4.9909999999999997</v>
      </c>
      <c r="N22" s="31">
        <f t="shared" si="1"/>
        <v>10.090302967611427</v>
      </c>
      <c r="O22" s="35">
        <v>0.3</v>
      </c>
      <c r="P22" s="35">
        <v>10.061999999999999</v>
      </c>
      <c r="Q22" s="31">
        <f t="shared" si="2"/>
        <v>33.54</v>
      </c>
      <c r="R22" s="35">
        <v>2.4544199999999998</v>
      </c>
      <c r="S22" s="31">
        <f t="shared" si="3"/>
        <v>1.0189607656763973</v>
      </c>
      <c r="T22" s="35">
        <v>3.9255</v>
      </c>
      <c r="U22" s="31">
        <f t="shared" si="6"/>
        <v>2.1914325898801601</v>
      </c>
      <c r="V22" s="31">
        <f t="shared" si="7"/>
        <v>2.6826242604253615E-17</v>
      </c>
      <c r="W22" s="31">
        <f t="shared" si="8"/>
        <v>-16.571440152170148</v>
      </c>
      <c r="X22" s="31">
        <f t="shared" si="9"/>
        <v>3.2432311156835411E-17</v>
      </c>
      <c r="Y22" s="31">
        <f t="shared" si="4"/>
        <v>-16.489022101993186</v>
      </c>
      <c r="Z22" s="31">
        <f t="shared" si="5"/>
        <v>0.13193354692246365</v>
      </c>
    </row>
    <row r="23" spans="1:26" x14ac:dyDescent="0.35">
      <c r="A23" s="31">
        <v>9</v>
      </c>
      <c r="B23" s="32">
        <v>43892</v>
      </c>
      <c r="C23" s="36">
        <v>0.64236111111111105</v>
      </c>
      <c r="D23" s="37">
        <f>D22+7-5/60</f>
        <v>95.916666666666657</v>
      </c>
      <c r="E23" s="35">
        <v>5.1920000000000002</v>
      </c>
      <c r="F23" s="35">
        <v>9.3670000000000009</v>
      </c>
      <c r="G23" s="31">
        <f t="shared" si="0"/>
        <v>4.1750000000000007</v>
      </c>
      <c r="H23" s="35">
        <v>-51</v>
      </c>
      <c r="I23" s="35">
        <f t="shared" ref="I23" si="11">(H23-$C$76)/$C$75</f>
        <v>8.0735120498239912</v>
      </c>
      <c r="J23" s="35">
        <v>2.0379999999999998</v>
      </c>
      <c r="K23" s="35">
        <v>4.2999999999999997E-2</v>
      </c>
      <c r="L23" s="35">
        <v>0.51</v>
      </c>
      <c r="M23" s="35">
        <v>4.9980000000000002</v>
      </c>
      <c r="N23" s="31">
        <f t="shared" si="1"/>
        <v>10.00677134445535</v>
      </c>
      <c r="O23" s="35">
        <v>0.30099999999999999</v>
      </c>
      <c r="P23" s="35">
        <v>10.077999999999999</v>
      </c>
      <c r="Q23" s="31">
        <f t="shared" si="2"/>
        <v>33.481727574750828</v>
      </c>
      <c r="R23" s="35">
        <v>2.48095</v>
      </c>
      <c r="S23" s="31">
        <f t="shared" si="3"/>
        <v>1.021448235631619</v>
      </c>
      <c r="T23" s="35">
        <v>3.9820000000000002</v>
      </c>
      <c r="U23" s="31">
        <f t="shared" si="6"/>
        <v>2.2191118375941712</v>
      </c>
      <c r="V23" s="31">
        <f t="shared" si="7"/>
        <v>2.6563583221529879E-17</v>
      </c>
      <c r="W23" s="31">
        <f t="shared" si="8"/>
        <v>-16.575713342392302</v>
      </c>
      <c r="X23" s="31">
        <f t="shared" si="9"/>
        <v>3.048382152689162E-17</v>
      </c>
      <c r="Y23" s="31">
        <f t="shared" si="4"/>
        <v>-16.51593058969441</v>
      </c>
      <c r="Z23" s="31">
        <f t="shared" si="5"/>
        <v>-1.4554862033179095E-2</v>
      </c>
    </row>
    <row r="24" spans="1:26" x14ac:dyDescent="0.35">
      <c r="A24" s="35">
        <v>10</v>
      </c>
      <c r="B24" s="32">
        <v>43893</v>
      </c>
      <c r="C24" s="36">
        <v>0.36458333333333331</v>
      </c>
      <c r="D24" s="37">
        <f>D22+24+15/60</f>
        <v>113.24999999999999</v>
      </c>
      <c r="E24" s="35">
        <v>5.2610000000000001</v>
      </c>
      <c r="F24" s="35">
        <v>9.4280000000000008</v>
      </c>
      <c r="G24" s="31">
        <f t="shared" si="0"/>
        <v>4.1670000000000007</v>
      </c>
      <c r="H24" s="35">
        <v>-43</v>
      </c>
      <c r="I24" s="35">
        <f>(H24-$C$76)/$C$75</f>
        <v>7.9373235851611144</v>
      </c>
      <c r="J24" s="35">
        <v>1.077</v>
      </c>
      <c r="K24" s="35">
        <v>5.3999999999999999E-2</v>
      </c>
      <c r="L24" s="35">
        <v>0.51</v>
      </c>
      <c r="M24" s="35">
        <v>5.0049999999999999</v>
      </c>
      <c r="N24" s="31">
        <f t="shared" si="1"/>
        <v>10.305778578841007</v>
      </c>
      <c r="O24" s="35">
        <v>0.30099999999999999</v>
      </c>
      <c r="P24" s="35">
        <v>10.023</v>
      </c>
      <c r="Q24" s="31">
        <f t="shared" si="2"/>
        <v>33.299003322259139</v>
      </c>
      <c r="R24" s="35">
        <v>2.3641700000000001</v>
      </c>
      <c r="S24" s="31">
        <f t="shared" si="3"/>
        <v>1.0024526863912178</v>
      </c>
      <c r="T24" s="35">
        <v>4.0408999999999997</v>
      </c>
      <c r="U24" s="31">
        <f t="shared" si="6"/>
        <v>2.2396461805079384</v>
      </c>
      <c r="V24" s="31">
        <f t="shared" si="7"/>
        <v>2.8569380006133574E-17</v>
      </c>
      <c r="W24" s="31">
        <f t="shared" si="8"/>
        <v>-16.544099184287774</v>
      </c>
      <c r="X24" s="31">
        <f t="shared" si="9"/>
        <v>2.9038299790224922E-17</v>
      </c>
      <c r="Y24" s="31">
        <f t="shared" si="4"/>
        <v>-16.537028815428542</v>
      </c>
      <c r="Z24" s="31">
        <f t="shared" si="5"/>
        <v>-0.11303407216593578</v>
      </c>
    </row>
    <row r="25" spans="1:26" x14ac:dyDescent="0.35">
      <c r="A25" s="35">
        <v>11</v>
      </c>
      <c r="B25" s="32">
        <v>43893</v>
      </c>
      <c r="C25" s="36">
        <v>0.71875</v>
      </c>
      <c r="D25" s="37">
        <f>D24+8.5</f>
        <v>121.74999999999999</v>
      </c>
      <c r="E25" s="35">
        <v>5.2670000000000003</v>
      </c>
      <c r="F25" s="35">
        <v>9.3510000000000009</v>
      </c>
      <c r="G25" s="31">
        <f t="shared" si="0"/>
        <v>4.0840000000000005</v>
      </c>
      <c r="H25" s="35">
        <v>-41</v>
      </c>
      <c r="I25" s="35">
        <f>(H25-$C$84)/$C$83</f>
        <v>7.9024957433953968</v>
      </c>
      <c r="J25" s="35">
        <v>1.7869999999999999</v>
      </c>
      <c r="K25" s="35">
        <v>3.6999999999999998E-2</v>
      </c>
      <c r="L25" s="35">
        <v>0.50800000000000001</v>
      </c>
      <c r="M25" s="35">
        <v>5.9870000000000001</v>
      </c>
      <c r="N25" s="31">
        <f t="shared" si="1"/>
        <v>12.029451550788945</v>
      </c>
      <c r="O25" s="35">
        <v>0.29299999999999998</v>
      </c>
      <c r="P25" s="35">
        <v>10.151</v>
      </c>
      <c r="Q25" s="31">
        <f t="shared" si="2"/>
        <v>34.645051194539249</v>
      </c>
      <c r="R25" s="35">
        <v>2.4997199999999999</v>
      </c>
      <c r="S25" s="31"/>
      <c r="T25" s="35">
        <v>4.0147000000000004</v>
      </c>
      <c r="U25" s="31">
        <f t="shared" si="6"/>
        <v>2.3150713553714506</v>
      </c>
      <c r="V25" s="31">
        <f t="shared" si="7"/>
        <v>1.3442135352023923E-16</v>
      </c>
      <c r="W25" s="31">
        <f t="shared" si="8"/>
        <v>-15.871531735899891</v>
      </c>
      <c r="X25" s="31">
        <f t="shared" si="9"/>
        <v>2.3728720116068623E-17</v>
      </c>
      <c r="Y25" s="31">
        <f t="shared" si="4"/>
        <v>-16.624725686204037</v>
      </c>
      <c r="Z25" s="31">
        <f t="shared" si="5"/>
        <v>-8.1675524050273049E-2</v>
      </c>
    </row>
    <row r="26" spans="1:26" x14ac:dyDescent="0.35">
      <c r="A26" s="35">
        <v>12</v>
      </c>
      <c r="B26" s="32">
        <v>43894</v>
      </c>
      <c r="C26" s="36">
        <v>0.3576388888888889</v>
      </c>
      <c r="D26" s="37">
        <f>D24+24-10/60</f>
        <v>137.08333333333334</v>
      </c>
      <c r="E26" s="35">
        <v>5.2560000000000002</v>
      </c>
      <c r="F26" s="35">
        <v>9.5050000000000008</v>
      </c>
      <c r="G26" s="31">
        <f t="shared" si="0"/>
        <v>4.2490000000000006</v>
      </c>
      <c r="H26" s="35">
        <v>-42</v>
      </c>
      <c r="I26" s="35">
        <f>(H26-$C$84)/$C$83</f>
        <v>7.9197605316636448</v>
      </c>
      <c r="J26" s="35">
        <v>1.778</v>
      </c>
      <c r="K26" s="35">
        <v>4.3999999999999997E-2</v>
      </c>
      <c r="L26" s="35">
        <v>0.50700000000000001</v>
      </c>
      <c r="M26" s="35">
        <v>4.9969999999999999</v>
      </c>
      <c r="N26" s="31">
        <f t="shared" si="1"/>
        <v>10.099921681387459</v>
      </c>
      <c r="O26" s="35">
        <v>0.307</v>
      </c>
      <c r="P26" s="35">
        <v>10.151</v>
      </c>
      <c r="Q26" s="31">
        <f t="shared" si="2"/>
        <v>33.065146579804562</v>
      </c>
      <c r="R26" s="35">
        <v>2.3786800000000001</v>
      </c>
      <c r="S26" s="31">
        <f t="shared" si="3"/>
        <v>0.98845841205853624</v>
      </c>
      <c r="T26" s="35">
        <v>4.0800999999999998</v>
      </c>
      <c r="U26" s="31">
        <f t="shared" si="6"/>
        <v>2.2454910878871601</v>
      </c>
      <c r="V26" s="31">
        <f t="shared" si="7"/>
        <v>3.0047077234263932E-17</v>
      </c>
      <c r="W26" s="31">
        <f t="shared" si="8"/>
        <v>-16.522197766681717</v>
      </c>
      <c r="X26" s="31">
        <f t="shared" si="9"/>
        <v>2.8626845637494081E-17</v>
      </c>
      <c r="Y26" s="31">
        <f t="shared" si="4"/>
        <v>-16.543226503801755</v>
      </c>
      <c r="Z26" s="31">
        <f t="shared" si="5"/>
        <v>-0.13243804284044183</v>
      </c>
    </row>
    <row r="28" spans="1:26" ht="15" thickBot="1" x14ac:dyDescent="0.4"/>
    <row r="29" spans="1:26" x14ac:dyDescent="0.35">
      <c r="A29" s="11" t="s">
        <v>8</v>
      </c>
      <c r="B29" s="12"/>
      <c r="C29" s="12"/>
      <c r="D29" s="12"/>
      <c r="E29" s="13" t="s">
        <v>9</v>
      </c>
      <c r="F29" s="14"/>
      <c r="G29" s="14"/>
      <c r="H29" s="15" t="s">
        <v>10</v>
      </c>
      <c r="I29" s="15"/>
      <c r="J29" s="15"/>
      <c r="K29" s="16" t="s">
        <v>10</v>
      </c>
      <c r="L29" s="16"/>
      <c r="M29" s="16"/>
      <c r="N29" s="17" t="s">
        <v>11</v>
      </c>
      <c r="O29" s="18"/>
      <c r="P29" s="18"/>
      <c r="Q29" s="40"/>
    </row>
    <row r="30" spans="1:26" ht="15" thickBot="1" x14ac:dyDescent="0.4">
      <c r="A30" s="22" t="s">
        <v>13</v>
      </c>
      <c r="B30" s="23" t="s">
        <v>14</v>
      </c>
      <c r="C30" s="23" t="s">
        <v>15</v>
      </c>
      <c r="D30" s="23" t="s">
        <v>16</v>
      </c>
      <c r="E30" s="24" t="s">
        <v>20</v>
      </c>
      <c r="F30" s="24" t="s">
        <v>21</v>
      </c>
      <c r="G30" s="24" t="s">
        <v>22</v>
      </c>
      <c r="H30" s="25" t="s">
        <v>21</v>
      </c>
      <c r="I30" s="25" t="s">
        <v>23</v>
      </c>
      <c r="J30" s="25" t="s">
        <v>24</v>
      </c>
      <c r="K30" s="26" t="s">
        <v>25</v>
      </c>
      <c r="L30" s="26" t="s">
        <v>26</v>
      </c>
      <c r="M30" s="26" t="s">
        <v>27</v>
      </c>
      <c r="N30" s="27" t="s">
        <v>28</v>
      </c>
      <c r="O30" s="27" t="s">
        <v>29</v>
      </c>
      <c r="P30" s="27" t="s">
        <v>30</v>
      </c>
      <c r="Q30" s="41" t="s">
        <v>31</v>
      </c>
    </row>
    <row r="31" spans="1:26" x14ac:dyDescent="0.35">
      <c r="A31" s="31">
        <v>1</v>
      </c>
      <c r="B31" s="32">
        <v>43888</v>
      </c>
      <c r="C31" s="33">
        <v>0.58333333333333337</v>
      </c>
      <c r="D31" s="34">
        <v>0</v>
      </c>
      <c r="E31" s="31">
        <v>9.34</v>
      </c>
      <c r="F31" s="31">
        <v>4.8289999999999997</v>
      </c>
      <c r="G31" s="31">
        <v>5.1999999999999998E-2</v>
      </c>
      <c r="H31" s="31">
        <v>0.495</v>
      </c>
      <c r="I31" s="31">
        <v>4.9749999999999996</v>
      </c>
      <c r="J31" s="31">
        <f>((F31+G31)/F31)*(I31/H31)</f>
        <v>10.158731652829809</v>
      </c>
      <c r="K31" s="31">
        <v>0.30199999999999999</v>
      </c>
      <c r="L31" s="31">
        <v>10.068</v>
      </c>
      <c r="M31" s="31">
        <f>L31/K31</f>
        <v>33.337748344370858</v>
      </c>
      <c r="N31" s="31">
        <v>2.8905500000000002</v>
      </c>
      <c r="O31" s="31">
        <f>N31/24.305*J31</f>
        <v>1.2081597111329854</v>
      </c>
      <c r="P31" s="31">
        <v>3.9943</v>
      </c>
      <c r="Q31" s="31">
        <f>P31/60.08*M31</f>
        <v>2.2163942778282375</v>
      </c>
    </row>
    <row r="32" spans="1:26" x14ac:dyDescent="0.35">
      <c r="A32" s="35">
        <v>2</v>
      </c>
      <c r="B32" s="38">
        <v>43864</v>
      </c>
      <c r="C32" s="36">
        <v>0.79166666666666663</v>
      </c>
      <c r="D32" s="37">
        <f>5*24+4.5</f>
        <v>124.5</v>
      </c>
      <c r="E32" s="35">
        <v>-99</v>
      </c>
      <c r="F32" s="35">
        <v>6.0129999999999999</v>
      </c>
      <c r="G32" s="35">
        <v>0.106</v>
      </c>
      <c r="H32" s="35">
        <v>0.50700000000000001</v>
      </c>
      <c r="I32" s="35">
        <v>4.9800000000000004</v>
      </c>
      <c r="J32" s="31">
        <f t="shared" ref="J32:J33" si="12">((F32+G32)/F32)*(I32/H32)</f>
        <v>9.9956406090551351</v>
      </c>
      <c r="K32" s="35">
        <v>0.31</v>
      </c>
      <c r="L32" s="35">
        <v>10.018000000000001</v>
      </c>
      <c r="M32" s="31">
        <f t="shared" ref="M32:M33" si="13">L32/K32</f>
        <v>32.316129032258068</v>
      </c>
      <c r="N32" s="35">
        <v>3.0954100000000002</v>
      </c>
      <c r="O32" s="31">
        <f t="shared" ref="O32:O33" si="14">N32/24.305*J32</f>
        <v>1.2730140258249478</v>
      </c>
      <c r="P32" s="35">
        <v>4.9306999999999999</v>
      </c>
      <c r="Q32" s="31">
        <f t="shared" ref="Q32:Q33" si="15">P32/60.08*M32</f>
        <v>2.6521494244233494</v>
      </c>
    </row>
    <row r="33" spans="1:26" x14ac:dyDescent="0.35">
      <c r="A33" s="31">
        <v>3</v>
      </c>
      <c r="B33" s="32">
        <v>43865</v>
      </c>
      <c r="C33" s="33">
        <v>0.5625</v>
      </c>
      <c r="D33" s="34">
        <f>D32+24-4.5</f>
        <v>144</v>
      </c>
      <c r="E33" s="31">
        <v>-98</v>
      </c>
      <c r="F33" s="31">
        <v>5.2069999999999999</v>
      </c>
      <c r="G33" s="31">
        <v>8.2000000000000003E-2</v>
      </c>
      <c r="H33" s="31">
        <v>0.50600000000000001</v>
      </c>
      <c r="I33" s="31">
        <v>4.976</v>
      </c>
      <c r="J33" s="31">
        <f t="shared" si="12"/>
        <v>9.9888581121035767</v>
      </c>
      <c r="K33" s="31">
        <v>0.30199999999999999</v>
      </c>
      <c r="L33" s="31">
        <v>10</v>
      </c>
      <c r="M33" s="31">
        <f t="shared" si="13"/>
        <v>33.112582781456958</v>
      </c>
      <c r="N33" s="35">
        <v>3.3393999999999999</v>
      </c>
      <c r="O33" s="31">
        <f t="shared" si="14"/>
        <v>1.3724251297905239</v>
      </c>
      <c r="P33" s="35">
        <v>4.5704000000000002</v>
      </c>
      <c r="Q33" s="31">
        <f t="shared" si="15"/>
        <v>2.5189372227758136</v>
      </c>
    </row>
    <row r="37" spans="1:26" ht="18.5" x14ac:dyDescent="0.45">
      <c r="A37" s="1" t="s">
        <v>48</v>
      </c>
    </row>
    <row r="38" spans="1:26" x14ac:dyDescent="0.35">
      <c r="A38" s="2" t="s">
        <v>0</v>
      </c>
      <c r="C38" s="3">
        <v>0.40972222222222227</v>
      </c>
    </row>
    <row r="39" spans="1:26" x14ac:dyDescent="0.35">
      <c r="A39" s="2" t="s">
        <v>1</v>
      </c>
    </row>
    <row r="40" spans="1:26" x14ac:dyDescent="0.35">
      <c r="A40" s="2" t="s">
        <v>2</v>
      </c>
    </row>
    <row r="41" spans="1:26" x14ac:dyDescent="0.35">
      <c r="A41" s="2" t="s">
        <v>3</v>
      </c>
      <c r="C41">
        <f>9.085+0.883-9.092</f>
        <v>0.87599999999999945</v>
      </c>
    </row>
    <row r="42" spans="1:26" x14ac:dyDescent="0.35">
      <c r="A42" s="2" t="s">
        <v>4</v>
      </c>
      <c r="C42">
        <f>AVERAGE(G59:G61)/(90*60)</f>
        <v>7.6395061728395074E-4</v>
      </c>
    </row>
    <row r="43" spans="1:26" ht="15" thickBot="1" x14ac:dyDescent="0.4">
      <c r="A43" s="2" t="s">
        <v>5</v>
      </c>
      <c r="C43">
        <v>2140000</v>
      </c>
    </row>
    <row r="44" spans="1:26" x14ac:dyDescent="0.35">
      <c r="A44" s="4" t="s">
        <v>6</v>
      </c>
      <c r="B44" s="5"/>
      <c r="C44" s="6">
        <f>AVERAGE(W59:W61)</f>
        <v>-16.099613444323634</v>
      </c>
    </row>
    <row r="45" spans="1:26" ht="15" thickBot="1" x14ac:dyDescent="0.4">
      <c r="A45" s="7" t="s">
        <v>7</v>
      </c>
      <c r="B45" s="8"/>
      <c r="C45" s="9">
        <f>AVERAGE(Y59:Y61)</f>
        <v>-16.576466342464737</v>
      </c>
    </row>
    <row r="46" spans="1:26" x14ac:dyDescent="0.35">
      <c r="A46" s="2"/>
    </row>
    <row r="47" spans="1:26" ht="15" thickBot="1" x14ac:dyDescent="0.4"/>
    <row r="48" spans="1:26" x14ac:dyDescent="0.35">
      <c r="A48" s="11" t="s">
        <v>8</v>
      </c>
      <c r="B48" s="12"/>
      <c r="C48" s="12"/>
      <c r="D48" s="12"/>
      <c r="E48" s="13" t="s">
        <v>9</v>
      </c>
      <c r="F48" s="13"/>
      <c r="G48" s="13"/>
      <c r="H48" s="14"/>
      <c r="I48" s="14"/>
      <c r="J48" s="14"/>
      <c r="K48" s="14"/>
      <c r="L48" s="15" t="s">
        <v>10</v>
      </c>
      <c r="M48" s="15"/>
      <c r="N48" s="15"/>
      <c r="O48" s="16" t="s">
        <v>10</v>
      </c>
      <c r="P48" s="16"/>
      <c r="Q48" s="16"/>
      <c r="R48" s="17" t="s">
        <v>11</v>
      </c>
      <c r="S48" s="18"/>
      <c r="T48" s="18"/>
      <c r="U48" s="18"/>
      <c r="V48" s="19" t="s">
        <v>12</v>
      </c>
      <c r="W48" s="20"/>
      <c r="X48" s="20"/>
      <c r="Y48" s="20"/>
      <c r="Z48" s="21"/>
    </row>
    <row r="49" spans="1:26" ht="15" thickBot="1" x14ac:dyDescent="0.4">
      <c r="A49" s="22" t="s">
        <v>13</v>
      </c>
      <c r="B49" s="23" t="s">
        <v>14</v>
      </c>
      <c r="C49" s="23" t="s">
        <v>15</v>
      </c>
      <c r="D49" s="23" t="s">
        <v>16</v>
      </c>
      <c r="E49" s="24" t="s">
        <v>17</v>
      </c>
      <c r="F49" s="24" t="s">
        <v>18</v>
      </c>
      <c r="G49" s="24" t="s">
        <v>19</v>
      </c>
      <c r="H49" s="24" t="s">
        <v>20</v>
      </c>
      <c r="I49" s="24" t="s">
        <v>37</v>
      </c>
      <c r="J49" s="24" t="s">
        <v>21</v>
      </c>
      <c r="K49" s="24" t="s">
        <v>22</v>
      </c>
      <c r="L49" s="25" t="s">
        <v>21</v>
      </c>
      <c r="M49" s="25" t="s">
        <v>23</v>
      </c>
      <c r="N49" s="25" t="s">
        <v>24</v>
      </c>
      <c r="O49" s="26" t="s">
        <v>25</v>
      </c>
      <c r="P49" s="26" t="s">
        <v>26</v>
      </c>
      <c r="Q49" s="26" t="s">
        <v>27</v>
      </c>
      <c r="R49" s="27" t="s">
        <v>28</v>
      </c>
      <c r="S49" s="27" t="s">
        <v>29</v>
      </c>
      <c r="T49" s="27" t="s">
        <v>30</v>
      </c>
      <c r="U49" s="27" t="s">
        <v>31</v>
      </c>
      <c r="V49" s="29" t="s">
        <v>32</v>
      </c>
      <c r="W49" s="29" t="s">
        <v>33</v>
      </c>
      <c r="X49" s="29" t="s">
        <v>34</v>
      </c>
      <c r="Y49" s="29" t="s">
        <v>35</v>
      </c>
      <c r="Z49" s="30" t="s">
        <v>36</v>
      </c>
    </row>
    <row r="50" spans="1:26" x14ac:dyDescent="0.35">
      <c r="A50" s="35">
        <v>1</v>
      </c>
      <c r="B50" s="38">
        <v>43888</v>
      </c>
      <c r="C50" s="33">
        <v>0.63541666666666663</v>
      </c>
      <c r="D50" s="37">
        <f>45/60</f>
        <v>0.75</v>
      </c>
      <c r="E50" s="35"/>
      <c r="F50" s="35">
        <v>9.6910000000000007</v>
      </c>
      <c r="G50" s="31">
        <f t="shared" ref="G50:G61" si="16">F50-E50</f>
        <v>9.6910000000000007</v>
      </c>
      <c r="H50" s="35">
        <v>7.81</v>
      </c>
      <c r="I50" s="35"/>
      <c r="J50" s="35">
        <v>1.893</v>
      </c>
      <c r="K50" s="35">
        <v>5.3999999999999999E-2</v>
      </c>
      <c r="L50" s="35">
        <v>0.50800000000000001</v>
      </c>
      <c r="M50" s="35">
        <v>4.9960000000000004</v>
      </c>
      <c r="N50" s="31">
        <f t="shared" ref="N50:N61" si="17">((J50+K50)/J50)*(M50/L50)</f>
        <v>10.115190236719618</v>
      </c>
      <c r="O50" s="35">
        <v>0.30199999999999999</v>
      </c>
      <c r="P50" s="35">
        <v>10.041</v>
      </c>
      <c r="Q50" s="31">
        <f t="shared" ref="Q50:Q61" si="18">P50/O50</f>
        <v>33.248344370860927</v>
      </c>
      <c r="R50" s="31">
        <v>2.55613</v>
      </c>
      <c r="S50" s="31">
        <f t="shared" ref="S50:S59" si="19">R50/24.305*N50</f>
        <v>1.0638033828342366</v>
      </c>
      <c r="T50" s="31">
        <v>3.3597999999999999</v>
      </c>
      <c r="U50" s="31">
        <f>T50/60.08*Q50</f>
        <v>1.8593173671308012</v>
      </c>
      <c r="V50" s="31">
        <f>((($O$32-S50)*10^(-6))*$C$42)/($C$43*$C$41*4)</f>
        <v>2.1314305660703681E-17</v>
      </c>
      <c r="W50" s="31">
        <f t="shared" ref="W50:W61" si="20">LOG(V50)</f>
        <v>-16.671328810454643</v>
      </c>
      <c r="X50" s="31">
        <f>((($Q$32-U50)*10^(-6))*$C$42)/($C$43*$C$41*6)</f>
        <v>5.3848964740887786E-17</v>
      </c>
      <c r="Y50" s="31">
        <f t="shared" ref="Y50:Y61" si="21">LOG(X50)</f>
        <v>-16.268822641700105</v>
      </c>
      <c r="Z50" s="31">
        <f t="shared" ref="Z50:Z61" si="22">($Q$31-U50)/($O$31-S50)</f>
        <v>2.4735798901621919</v>
      </c>
    </row>
    <row r="51" spans="1:26" x14ac:dyDescent="0.35">
      <c r="A51" s="35">
        <v>2</v>
      </c>
      <c r="B51" s="32">
        <v>43889</v>
      </c>
      <c r="C51" s="33">
        <v>0.375</v>
      </c>
      <c r="D51" s="37">
        <f>D52-5-0.75</f>
        <v>18.5</v>
      </c>
      <c r="E51" s="35">
        <v>5.2679999999999998</v>
      </c>
      <c r="F51" s="35">
        <v>9.7040000000000006</v>
      </c>
      <c r="G51" s="31">
        <f t="shared" si="16"/>
        <v>4.4360000000000008</v>
      </c>
      <c r="H51" s="35">
        <v>7.79</v>
      </c>
      <c r="I51" s="35"/>
      <c r="J51" s="35">
        <v>2.0139999999999998</v>
      </c>
      <c r="K51" s="35">
        <v>5.3999999999999999E-2</v>
      </c>
      <c r="L51" s="35">
        <v>0.50800000000000001</v>
      </c>
      <c r="M51" s="35">
        <v>4.9640000000000004</v>
      </c>
      <c r="N51" s="31">
        <f t="shared" si="17"/>
        <v>10.03365418448811</v>
      </c>
      <c r="O51" s="35">
        <v>0.3</v>
      </c>
      <c r="P51" s="35">
        <v>10.004</v>
      </c>
      <c r="Q51" s="31">
        <f t="shared" si="18"/>
        <v>33.346666666666664</v>
      </c>
      <c r="R51" s="35">
        <v>2.5333700000000001</v>
      </c>
      <c r="S51" s="31">
        <f t="shared" si="19"/>
        <v>1.0458324830840011</v>
      </c>
      <c r="T51" s="35">
        <v>3.4419</v>
      </c>
      <c r="U51" s="31">
        <f t="shared" ref="U51:U61" si="23">T51/60.08*Q51</f>
        <v>1.9103843541944072</v>
      </c>
      <c r="V51" s="31">
        <f t="shared" ref="V51:V61" si="24">((($O$32-S51)*10^(-6))*$C$42)/($C$43*$C$41*4)</f>
        <v>2.3145174515169123E-17</v>
      </c>
      <c r="W51" s="31">
        <f t="shared" si="20"/>
        <v>-16.635539540278049</v>
      </c>
      <c r="X51" s="31">
        <f t="shared" ref="X51:X57" si="25">((($Q$32-U51)*10^(-6))*$C$42)/($C$43*$C$41*6)</f>
        <v>5.0380507126797122E-17</v>
      </c>
      <c r="Y51" s="31">
        <f t="shared" si="21"/>
        <v>-16.29773746523685</v>
      </c>
      <c r="Z51" s="31">
        <f t="shared" si="22"/>
        <v>1.8851422975170129</v>
      </c>
    </row>
    <row r="52" spans="1:26" x14ac:dyDescent="0.35">
      <c r="A52" s="31">
        <v>3</v>
      </c>
      <c r="B52" s="38">
        <v>43889</v>
      </c>
      <c r="C52" s="36">
        <v>0.61458333333333337</v>
      </c>
      <c r="D52" s="37">
        <f>24+15/60</f>
        <v>24.25</v>
      </c>
      <c r="E52" s="35">
        <v>5.2530000000000001</v>
      </c>
      <c r="F52" s="35">
        <v>9.5</v>
      </c>
      <c r="G52" s="31">
        <f t="shared" si="16"/>
        <v>4.2469999999999999</v>
      </c>
      <c r="H52" s="35">
        <v>-54</v>
      </c>
      <c r="I52" s="35">
        <f>(H52-$C$68)/$C$67</f>
        <v>8.1155169018706914</v>
      </c>
      <c r="J52" s="35">
        <v>1.9870000000000001</v>
      </c>
      <c r="K52" s="35">
        <v>5.5E-2</v>
      </c>
      <c r="L52" s="35">
        <v>0.50900000000000001</v>
      </c>
      <c r="M52" s="35">
        <v>4.9809999999999999</v>
      </c>
      <c r="N52" s="31">
        <f t="shared" si="17"/>
        <v>10.056726284701245</v>
      </c>
      <c r="O52" s="35">
        <v>0.30199999999999999</v>
      </c>
      <c r="P52" s="35">
        <v>9.9939999999999998</v>
      </c>
      <c r="Q52" s="31">
        <f t="shared" si="18"/>
        <v>33.092715231788077</v>
      </c>
      <c r="R52" s="35">
        <v>2.6078999999999999</v>
      </c>
      <c r="S52" s="31">
        <f t="shared" si="19"/>
        <v>1.0790757653928154</v>
      </c>
      <c r="T52" s="35">
        <v>3.5792999999999999</v>
      </c>
      <c r="U52" s="31">
        <f t="shared" si="23"/>
        <v>1.9715172375023147</v>
      </c>
      <c r="V52" s="31">
        <f t="shared" si="24"/>
        <v>1.9758360774882548E-17</v>
      </c>
      <c r="W52" s="31">
        <f t="shared" si="20"/>
        <v>-16.704249088895832</v>
      </c>
      <c r="X52" s="31">
        <f t="shared" si="25"/>
        <v>4.6228376234161427E-17</v>
      </c>
      <c r="Y52" s="31">
        <f t="shared" si="21"/>
        <v>-16.335091360832486</v>
      </c>
      <c r="Z52" s="31">
        <f t="shared" si="22"/>
        <v>1.8970371483594868</v>
      </c>
    </row>
    <row r="53" spans="1:26" x14ac:dyDescent="0.35">
      <c r="A53" s="35">
        <v>4</v>
      </c>
      <c r="B53" s="32">
        <v>43890</v>
      </c>
      <c r="C53" s="36">
        <v>0.41319444444444442</v>
      </c>
      <c r="D53" s="37">
        <f>D51+24+55/60</f>
        <v>43.416666666666664</v>
      </c>
      <c r="E53" s="35">
        <v>5.2750000000000004</v>
      </c>
      <c r="F53" s="35">
        <v>7.0510000000000002</v>
      </c>
      <c r="G53" s="31">
        <f t="shared" si="16"/>
        <v>1.7759999999999998</v>
      </c>
      <c r="H53" s="35">
        <v>-39</v>
      </c>
      <c r="I53" s="35">
        <f t="shared" ref="I53:I55" si="26">(H53-$C$68)/$C$67</f>
        <v>7.8576074827699367</v>
      </c>
      <c r="J53" s="35">
        <v>1.1399999999999999</v>
      </c>
      <c r="K53" s="35">
        <v>5.5E-2</v>
      </c>
      <c r="L53" s="35">
        <v>0.51100000000000001</v>
      </c>
      <c r="M53" s="35">
        <v>4.9859999999999998</v>
      </c>
      <c r="N53" s="31">
        <f t="shared" si="17"/>
        <v>10.228087341641777</v>
      </c>
      <c r="O53" s="35">
        <v>0.3</v>
      </c>
      <c r="P53" s="35">
        <v>9.9689999999999994</v>
      </c>
      <c r="Q53" s="31">
        <f t="shared" si="18"/>
        <v>33.229999999999997</v>
      </c>
      <c r="R53" s="35">
        <v>2.4584000000000001</v>
      </c>
      <c r="S53" s="31">
        <f t="shared" si="19"/>
        <v>1.0345496778725425</v>
      </c>
      <c r="T53" s="35">
        <v>3.6802000000000001</v>
      </c>
      <c r="U53" s="31">
        <f t="shared" si="23"/>
        <v>2.0355034287616514</v>
      </c>
      <c r="V53" s="31">
        <f t="shared" si="24"/>
        <v>2.4294662684362733E-17</v>
      </c>
      <c r="W53" s="31">
        <f t="shared" si="20"/>
        <v>-16.614489126456373</v>
      </c>
      <c r="X53" s="31">
        <f t="shared" si="25"/>
        <v>4.1882449344179049E-17</v>
      </c>
      <c r="Y53" s="31">
        <f t="shared" si="21"/>
        <v>-16.377967928102169</v>
      </c>
      <c r="Z53" s="31">
        <f t="shared" si="22"/>
        <v>1.0419377594106032</v>
      </c>
    </row>
    <row r="54" spans="1:26" x14ac:dyDescent="0.35">
      <c r="A54" s="35">
        <v>5</v>
      </c>
      <c r="B54" s="32">
        <v>43890</v>
      </c>
      <c r="C54" s="36">
        <v>0.67361111111111116</v>
      </c>
      <c r="D54" s="37">
        <f>D53+6+15/60</f>
        <v>49.666666666666664</v>
      </c>
      <c r="E54" s="35">
        <v>5.2190000000000003</v>
      </c>
      <c r="F54" s="35"/>
      <c r="G54" s="31">
        <f t="shared" si="16"/>
        <v>-5.2190000000000003</v>
      </c>
      <c r="H54" s="35"/>
      <c r="I54" s="35"/>
      <c r="J54" s="35"/>
      <c r="K54" s="35"/>
      <c r="L54" s="35"/>
      <c r="M54" s="35"/>
      <c r="N54" s="31"/>
      <c r="O54" s="35"/>
      <c r="P54" s="35"/>
      <c r="Q54" s="31"/>
      <c r="R54" s="35"/>
      <c r="S54" s="31"/>
      <c r="T54" s="35"/>
      <c r="U54" s="31"/>
      <c r="V54" s="31"/>
      <c r="W54" s="31"/>
      <c r="X54" s="31">
        <f t="shared" si="25"/>
        <v>1.801333580418546E-16</v>
      </c>
      <c r="Y54" s="31">
        <f t="shared" si="21"/>
        <v>-15.744405854798387</v>
      </c>
      <c r="Z54" s="31">
        <f t="shared" si="22"/>
        <v>1.8345209308045474</v>
      </c>
    </row>
    <row r="55" spans="1:26" x14ac:dyDescent="0.35">
      <c r="A55" s="31">
        <v>6</v>
      </c>
      <c r="B55" s="32">
        <v>43891</v>
      </c>
      <c r="C55" s="36">
        <v>0.43402777777777773</v>
      </c>
      <c r="D55" s="37">
        <f>D53+24+0.5</f>
        <v>67.916666666666657</v>
      </c>
      <c r="E55" s="35">
        <v>5.2640000000000002</v>
      </c>
      <c r="F55" s="35">
        <v>9.8010000000000002</v>
      </c>
      <c r="G55" s="31">
        <f t="shared" si="16"/>
        <v>4.5369999999999999</v>
      </c>
      <c r="H55" s="35">
        <v>-45</v>
      </c>
      <c r="I55" s="35">
        <f t="shared" si="26"/>
        <v>7.9607712504102386</v>
      </c>
      <c r="J55" s="35">
        <v>2.387</v>
      </c>
      <c r="K55" s="35">
        <v>2.4E-2</v>
      </c>
      <c r="L55" s="35">
        <v>0.50700000000000001</v>
      </c>
      <c r="M55" s="35">
        <v>4.9889999999999999</v>
      </c>
      <c r="N55" s="31">
        <f t="shared" si="17"/>
        <v>9.9391749689516455</v>
      </c>
      <c r="O55" s="35">
        <v>0.30399999999999999</v>
      </c>
      <c r="P55" s="35">
        <v>10.044</v>
      </c>
      <c r="Q55" s="31">
        <f t="shared" si="18"/>
        <v>33.039473684210527</v>
      </c>
      <c r="R55" s="35">
        <v>2.4502899999999999</v>
      </c>
      <c r="S55" s="31">
        <f t="shared" si="19"/>
        <v>1.0020103285197501</v>
      </c>
      <c r="T55" s="35">
        <v>3.9293</v>
      </c>
      <c r="U55" s="31">
        <f t="shared" si="23"/>
        <v>2.1608189738243748</v>
      </c>
      <c r="V55" s="31">
        <f t="shared" si="24"/>
        <v>2.7609759986255871E-17</v>
      </c>
      <c r="W55" s="31">
        <f t="shared" si="20"/>
        <v>-16.558937368699301</v>
      </c>
      <c r="X55" s="31">
        <f t="shared" si="25"/>
        <v>3.3371047332242328E-17</v>
      </c>
      <c r="Y55" s="31">
        <f t="shared" si="21"/>
        <v>-16.476630163034272</v>
      </c>
      <c r="Z55" s="31">
        <f t="shared" si="22"/>
        <v>0.26958753550152337</v>
      </c>
    </row>
    <row r="56" spans="1:26" x14ac:dyDescent="0.35">
      <c r="A56" s="35">
        <v>7</v>
      </c>
      <c r="B56" s="32">
        <v>43891</v>
      </c>
      <c r="C56" s="36">
        <v>0.66666666666666663</v>
      </c>
      <c r="D56" s="37">
        <f>D54+25-10/60</f>
        <v>74.499999999999986</v>
      </c>
      <c r="E56" s="35">
        <v>5.2649999999999997</v>
      </c>
      <c r="F56" s="35">
        <v>9.44</v>
      </c>
      <c r="G56" s="31">
        <f t="shared" si="16"/>
        <v>4.1749999999999998</v>
      </c>
      <c r="H56" s="35">
        <v>-45</v>
      </c>
      <c r="I56" s="35">
        <f>(H56-$C$76)/$C$75</f>
        <v>7.9713707013268333</v>
      </c>
      <c r="J56" s="35">
        <v>1.72</v>
      </c>
      <c r="K56" s="35">
        <v>4.4999999999999998E-2</v>
      </c>
      <c r="L56" s="35">
        <v>0.50600000000000001</v>
      </c>
      <c r="M56" s="35">
        <v>4.9950000000000001</v>
      </c>
      <c r="N56" s="31">
        <f t="shared" si="17"/>
        <v>10.129808576155897</v>
      </c>
      <c r="O56" s="35">
        <v>0.30499999999999999</v>
      </c>
      <c r="P56" s="35">
        <v>10.055999999999999</v>
      </c>
      <c r="Q56" s="31">
        <f t="shared" si="18"/>
        <v>32.970491803278684</v>
      </c>
      <c r="R56" s="35">
        <v>2.3749500000000001</v>
      </c>
      <c r="S56" s="31">
        <f t="shared" si="19"/>
        <v>0.9898287956363484</v>
      </c>
      <c r="T56" s="35">
        <v>3.9213</v>
      </c>
      <c r="U56" s="31">
        <f t="shared" si="23"/>
        <v>2.1519172687782406</v>
      </c>
      <c r="V56" s="31">
        <f t="shared" si="24"/>
        <v>2.8850810209997428E-17</v>
      </c>
      <c r="W56" s="31">
        <f t="shared" si="20"/>
        <v>-16.539841986155032</v>
      </c>
      <c r="X56" s="31">
        <f t="shared" si="25"/>
        <v>3.3975649021533239E-17</v>
      </c>
      <c r="Y56" s="31">
        <f t="shared" si="21"/>
        <v>-16.468832238384184</v>
      </c>
      <c r="Z56" s="31">
        <f t="shared" si="22"/>
        <v>0.29531781563472642</v>
      </c>
    </row>
    <row r="57" spans="1:26" x14ac:dyDescent="0.35">
      <c r="A57" s="35">
        <v>8</v>
      </c>
      <c r="B57" s="32">
        <v>43892</v>
      </c>
      <c r="C57" s="36">
        <v>0.35416666666666669</v>
      </c>
      <c r="D57" s="37">
        <f>D56+6+8.5</f>
        <v>88.999999999999986</v>
      </c>
      <c r="E57" s="35">
        <v>5.2759999999999998</v>
      </c>
      <c r="F57" s="35">
        <v>9.4540000000000006</v>
      </c>
      <c r="G57" s="31">
        <f t="shared" si="16"/>
        <v>4.1780000000000008</v>
      </c>
      <c r="H57" s="35">
        <v>-35</v>
      </c>
      <c r="I57" s="35">
        <f>(H57-$C$76)/$C$75</f>
        <v>7.8011351204982393</v>
      </c>
      <c r="J57" s="35">
        <v>1.9350000000000001</v>
      </c>
      <c r="K57" s="35">
        <v>0.02</v>
      </c>
      <c r="L57" s="35">
        <v>0.505</v>
      </c>
      <c r="M57" s="35">
        <v>4.976</v>
      </c>
      <c r="N57" s="31">
        <f t="shared" si="17"/>
        <v>9.9553099495996111</v>
      </c>
      <c r="O57" s="35">
        <v>0.30099999999999999</v>
      </c>
      <c r="P57" s="35">
        <v>10.016</v>
      </c>
      <c r="Q57" s="31">
        <f t="shared" si="18"/>
        <v>33.275747508305649</v>
      </c>
      <c r="R57" s="35">
        <v>2.3742100000000002</v>
      </c>
      <c r="S57" s="31">
        <f t="shared" si="19"/>
        <v>0.97247465276440626</v>
      </c>
      <c r="T57" s="35">
        <v>3.9521000000000002</v>
      </c>
      <c r="U57" s="31">
        <f t="shared" si="23"/>
        <v>2.1888994961314041</v>
      </c>
      <c r="V57" s="31">
        <f t="shared" si="24"/>
        <v>3.0618844093763658E-17</v>
      </c>
      <c r="W57" s="31">
        <f t="shared" si="20"/>
        <v>-16.514011208581444</v>
      </c>
      <c r="X57" s="31">
        <f t="shared" si="25"/>
        <v>3.146382493664364E-17</v>
      </c>
      <c r="Y57" s="31">
        <f t="shared" si="21"/>
        <v>-16.502188482987236</v>
      </c>
      <c r="Z57" s="31">
        <f t="shared" si="22"/>
        <v>0.11665899351937416</v>
      </c>
    </row>
    <row r="58" spans="1:26" x14ac:dyDescent="0.35">
      <c r="A58" s="31">
        <v>9</v>
      </c>
      <c r="B58" s="32">
        <v>43892</v>
      </c>
      <c r="C58" s="36">
        <v>0.64236111111111105</v>
      </c>
      <c r="D58" s="37">
        <f>D57+7-5/60</f>
        <v>95.916666666666657</v>
      </c>
      <c r="E58" s="35">
        <v>5.1909999999999998</v>
      </c>
      <c r="F58" s="35">
        <v>9.2390000000000008</v>
      </c>
      <c r="G58" s="31">
        <f t="shared" si="16"/>
        <v>4.0480000000000009</v>
      </c>
      <c r="H58" s="35">
        <v>-35</v>
      </c>
      <c r="I58" s="35">
        <f t="shared" ref="I58" si="27">(H58-$C$76)/$C$75</f>
        <v>7.8011351204982393</v>
      </c>
      <c r="J58" s="35">
        <v>1.7969999999999999</v>
      </c>
      <c r="K58" s="35">
        <v>2.1000000000000001E-2</v>
      </c>
      <c r="L58" s="35">
        <v>0.504</v>
      </c>
      <c r="M58" s="35">
        <v>4.9729999999999999</v>
      </c>
      <c r="N58" s="31">
        <f t="shared" si="17"/>
        <v>9.9823714126719132</v>
      </c>
      <c r="O58" s="35">
        <v>0.30199999999999999</v>
      </c>
      <c r="P58" s="35">
        <v>10.055</v>
      </c>
      <c r="Q58" s="31">
        <f t="shared" si="18"/>
        <v>33.294701986754966</v>
      </c>
      <c r="R58" s="35">
        <v>2.4831799999999999</v>
      </c>
      <c r="S58" s="31">
        <f t="shared" si="19"/>
        <v>1.0198734846541304</v>
      </c>
      <c r="T58" s="35">
        <v>3.9948000000000001</v>
      </c>
      <c r="U58" s="31">
        <f t="shared" si="23"/>
        <v>2.2138095122617965</v>
      </c>
      <c r="V58" s="31">
        <f t="shared" si="24"/>
        <v>2.5789868012930403E-17</v>
      </c>
      <c r="W58" s="31">
        <f t="shared" si="20"/>
        <v>-16.588550880483339</v>
      </c>
      <c r="X58" s="31">
        <f>((($Q$32-U58)*10^(-6))*$C$42)/($C$43*$C$41*6)</f>
        <v>2.9771942566395984E-17</v>
      </c>
      <c r="Y58" s="31">
        <f t="shared" si="21"/>
        <v>-16.526192827484859</v>
      </c>
      <c r="Z58" s="31">
        <f t="shared" si="22"/>
        <v>1.3727852614494484E-2</v>
      </c>
    </row>
    <row r="59" spans="1:26" x14ac:dyDescent="0.35">
      <c r="A59" s="35">
        <v>10</v>
      </c>
      <c r="B59" s="32">
        <v>43893</v>
      </c>
      <c r="C59" s="36">
        <v>0.36458333333333331</v>
      </c>
      <c r="D59" s="37">
        <f>D57+24+15/60</f>
        <v>113.24999999999999</v>
      </c>
      <c r="E59" s="35">
        <v>5.2539999999999996</v>
      </c>
      <c r="F59" s="35">
        <v>9.3970000000000002</v>
      </c>
      <c r="G59" s="31">
        <f t="shared" si="16"/>
        <v>4.1430000000000007</v>
      </c>
      <c r="H59" s="35">
        <v>-41</v>
      </c>
      <c r="I59" s="35">
        <f>(H59-$C$76)/$C$75</f>
        <v>7.9032764689953954</v>
      </c>
      <c r="J59" s="35">
        <v>1.605</v>
      </c>
      <c r="K59" s="35">
        <v>6.4000000000000001E-2</v>
      </c>
      <c r="L59" s="35">
        <v>0.50900000000000001</v>
      </c>
      <c r="M59" s="35">
        <v>4.9870000000000001</v>
      </c>
      <c r="N59" s="31">
        <f t="shared" si="17"/>
        <v>10.188327243572088</v>
      </c>
      <c r="O59" s="35">
        <v>0.30299999999999999</v>
      </c>
      <c r="P59" s="35">
        <v>9.99</v>
      </c>
      <c r="Q59" s="31">
        <f t="shared" si="18"/>
        <v>32.970297029702969</v>
      </c>
      <c r="R59" s="35">
        <v>2.33731</v>
      </c>
      <c r="S59" s="31">
        <f t="shared" si="19"/>
        <v>0.97976873687198018</v>
      </c>
      <c r="T59" s="35">
        <v>4.0677000000000003</v>
      </c>
      <c r="U59" s="31">
        <f t="shared" si="23"/>
        <v>2.2322449605146937</v>
      </c>
      <c r="V59" s="31">
        <f t="shared" si="24"/>
        <v>2.9875725407442261E-17</v>
      </c>
      <c r="W59" s="31">
        <f t="shared" si="20"/>
        <v>-16.524681540884824</v>
      </c>
      <c r="X59" s="31">
        <f t="shared" ref="X59:X61" si="28">((($Q$32-U59)*10^(-6))*$C$42)/($C$43*$C$41*6)</f>
        <v>2.8519811306286732E-17</v>
      </c>
      <c r="Y59" s="31">
        <f t="shared" si="21"/>
        <v>-16.544853352204097</v>
      </c>
      <c r="Z59" s="31">
        <f t="shared" si="22"/>
        <v>-6.9401528399900853E-2</v>
      </c>
    </row>
    <row r="60" spans="1:26" x14ac:dyDescent="0.35">
      <c r="A60" s="35">
        <v>11</v>
      </c>
      <c r="B60" s="32">
        <v>43893</v>
      </c>
      <c r="C60" s="36">
        <v>0.71875</v>
      </c>
      <c r="D60" s="37">
        <f>D59+8.5</f>
        <v>121.74999999999999</v>
      </c>
      <c r="E60" s="35">
        <v>5.2240000000000002</v>
      </c>
      <c r="F60" s="35">
        <v>9.3640000000000008</v>
      </c>
      <c r="G60" s="31">
        <f t="shared" si="16"/>
        <v>4.1400000000000006</v>
      </c>
      <c r="H60" s="35">
        <v>-42</v>
      </c>
      <c r="I60" s="35">
        <f>(H60-$C$84)/$C$83</f>
        <v>7.9197605316636448</v>
      </c>
      <c r="J60" s="35">
        <v>1.9670000000000001</v>
      </c>
      <c r="K60" s="35">
        <v>5.1999999999999998E-2</v>
      </c>
      <c r="L60" s="35">
        <v>0.50600000000000001</v>
      </c>
      <c r="M60" s="35">
        <v>4.9980000000000002</v>
      </c>
      <c r="N60" s="31">
        <f t="shared" si="17"/>
        <v>10.138593110432815</v>
      </c>
      <c r="O60" s="35">
        <v>0.30199999999999999</v>
      </c>
      <c r="P60" s="35">
        <v>10.131</v>
      </c>
      <c r="Q60" s="31">
        <f t="shared" si="18"/>
        <v>33.546357615894038</v>
      </c>
      <c r="R60" s="35"/>
      <c r="S60" s="31"/>
      <c r="T60" s="35">
        <v>4.0349000000000004</v>
      </c>
      <c r="U60" s="31">
        <f t="shared" si="23"/>
        <v>2.2529327287678242</v>
      </c>
      <c r="V60" s="31">
        <f t="shared" si="24"/>
        <v>1.2969421473457525E-16</v>
      </c>
      <c r="W60" s="31">
        <f t="shared" si="20"/>
        <v>-15.887079396043038</v>
      </c>
      <c r="X60" s="31">
        <f t="shared" si="28"/>
        <v>2.7114703007519465E-17</v>
      </c>
      <c r="Y60" s="31">
        <f t="shared" si="21"/>
        <v>-16.566795148112238</v>
      </c>
      <c r="Z60" s="31">
        <f t="shared" si="22"/>
        <v>-3.0243063564271477E-2</v>
      </c>
    </row>
    <row r="61" spans="1:26" x14ac:dyDescent="0.35">
      <c r="A61" s="35">
        <v>12</v>
      </c>
      <c r="B61" s="32">
        <v>43894</v>
      </c>
      <c r="C61" s="36">
        <v>0.3576388888888889</v>
      </c>
      <c r="D61" s="37">
        <f>D59+24-10/60</f>
        <v>137.08333333333334</v>
      </c>
      <c r="E61" s="35">
        <v>5.2779999999999996</v>
      </c>
      <c r="F61" s="35">
        <v>9.3710000000000004</v>
      </c>
      <c r="G61" s="31">
        <f t="shared" si="16"/>
        <v>4.0930000000000009</v>
      </c>
      <c r="H61" s="35">
        <v>-53</v>
      </c>
      <c r="I61" s="35">
        <f>(H61-$C$84)/$C$83</f>
        <v>8.1096732026143776</v>
      </c>
      <c r="J61" s="35">
        <v>1.6439999999999999</v>
      </c>
      <c r="K61" s="35">
        <v>5.5E-2</v>
      </c>
      <c r="L61" s="35">
        <v>0.50800000000000001</v>
      </c>
      <c r="M61" s="35">
        <v>5.0199999999999996</v>
      </c>
      <c r="N61" s="31">
        <f t="shared" si="17"/>
        <v>10.212488265609132</v>
      </c>
      <c r="O61" s="35">
        <v>0.29799999999999999</v>
      </c>
      <c r="P61" s="35">
        <v>10.172000000000001</v>
      </c>
      <c r="Q61" s="31">
        <f t="shared" si="18"/>
        <v>34.134228187919469</v>
      </c>
      <c r="R61" s="35"/>
      <c r="S61" s="31"/>
      <c r="T61" s="35">
        <v>4.0431999999999997</v>
      </c>
      <c r="U61" s="31">
        <f t="shared" si="23"/>
        <v>2.2971290181324231</v>
      </c>
      <c r="V61" s="31">
        <f t="shared" si="24"/>
        <v>1.2969421473457525E-16</v>
      </c>
      <c r="W61" s="31">
        <f t="shared" si="20"/>
        <v>-15.887079396043038</v>
      </c>
      <c r="X61" s="31">
        <f t="shared" si="28"/>
        <v>2.4112901546817196E-17</v>
      </c>
      <c r="Y61" s="31">
        <f t="shared" si="21"/>
        <v>-16.61775052707787</v>
      </c>
      <c r="Z61" s="31">
        <f t="shared" si="22"/>
        <v>-6.6824559336177786E-2</v>
      </c>
    </row>
    <row r="64" spans="1:26" x14ac:dyDescent="0.35">
      <c r="A64" s="10" t="s">
        <v>38</v>
      </c>
    </row>
    <row r="66" spans="1:3" x14ac:dyDescent="0.35">
      <c r="A66" t="s">
        <v>20</v>
      </c>
      <c r="B66" t="s">
        <v>39</v>
      </c>
    </row>
    <row r="67" spans="1:3" x14ac:dyDescent="0.35">
      <c r="A67">
        <v>4.01</v>
      </c>
      <c r="B67">
        <v>186</v>
      </c>
      <c r="C67">
        <f>SLOPE(B67:B69,A67:A69)</f>
        <v>-58.159954189730861</v>
      </c>
    </row>
    <row r="68" spans="1:3" x14ac:dyDescent="0.35">
      <c r="A68">
        <v>7</v>
      </c>
      <c r="B68">
        <v>8</v>
      </c>
      <c r="C68">
        <f>INTERCEPT(B67:B69,A67:A69)</f>
        <v>417.99809123878595</v>
      </c>
    </row>
    <row r="69" spans="1:3" x14ac:dyDescent="0.35">
      <c r="A69">
        <v>9.2100000000000009</v>
      </c>
      <c r="B69">
        <v>-116</v>
      </c>
    </row>
    <row r="72" spans="1:3" x14ac:dyDescent="0.35">
      <c r="A72" s="10" t="s">
        <v>40</v>
      </c>
    </row>
    <row r="74" spans="1:3" x14ac:dyDescent="0.35">
      <c r="A74" t="s">
        <v>20</v>
      </c>
      <c r="B74" t="s">
        <v>39</v>
      </c>
    </row>
    <row r="75" spans="1:3" x14ac:dyDescent="0.35">
      <c r="A75">
        <v>4.01</v>
      </c>
      <c r="B75">
        <v>189</v>
      </c>
      <c r="C75">
        <f>SLOPE(B75:B77,A75:A77)</f>
        <v>-58.742126359992348</v>
      </c>
    </row>
    <row r="76" spans="1:3" x14ac:dyDescent="0.35">
      <c r="A76">
        <v>7</v>
      </c>
      <c r="B76">
        <v>9</v>
      </c>
      <c r="C76">
        <f>INTERCEPT(B75:B77,A75:A77)</f>
        <v>423.25526499968169</v>
      </c>
    </row>
    <row r="77" spans="1:3" x14ac:dyDescent="0.35">
      <c r="A77">
        <v>9.2100000000000009</v>
      </c>
      <c r="B77">
        <v>-116</v>
      </c>
    </row>
    <row r="80" spans="1:3" x14ac:dyDescent="0.35">
      <c r="A80" s="10" t="s">
        <v>40</v>
      </c>
    </row>
    <row r="82" spans="1:3" x14ac:dyDescent="0.35">
      <c r="A82" t="s">
        <v>20</v>
      </c>
      <c r="B82" t="s">
        <v>39</v>
      </c>
    </row>
    <row r="83" spans="1:3" x14ac:dyDescent="0.35">
      <c r="A83">
        <v>4.01</v>
      </c>
      <c r="B83">
        <v>185</v>
      </c>
      <c r="C83">
        <f>SLOPE(B83:B85,A83:A85)</f>
        <v>-57.921359037984338</v>
      </c>
    </row>
    <row r="84" spans="1:3" x14ac:dyDescent="0.35">
      <c r="A84">
        <v>7</v>
      </c>
      <c r="B84">
        <v>10</v>
      </c>
      <c r="C84">
        <f>INTERCEPT(B83:B85,A83:A85)</f>
        <v>416.72329324934771</v>
      </c>
    </row>
    <row r="85" spans="1:3" x14ac:dyDescent="0.35">
      <c r="A85">
        <v>9.2100000000000009</v>
      </c>
      <c r="B85">
        <v>-116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E155E-6838-46ED-9267-5D65F11E522C}">
  <dimension ref="A1:Y64"/>
  <sheetViews>
    <sheetView topLeftCell="A37" workbookViewId="0">
      <selection activeCell="E46" sqref="E46"/>
    </sheetView>
  </sheetViews>
  <sheetFormatPr defaultColWidth="10.81640625" defaultRowHeight="14.5" x14ac:dyDescent="0.35"/>
  <cols>
    <col min="1" max="1" width="14.453125" customWidth="1"/>
    <col min="3" max="3" width="11.81640625" bestFit="1" customWidth="1"/>
    <col min="4" max="4" width="11.6328125" customWidth="1"/>
    <col min="5" max="5" width="12.453125" bestFit="1" customWidth="1"/>
    <col min="6" max="6" width="15.453125" bestFit="1" customWidth="1"/>
    <col min="7" max="7" width="15.36328125" bestFit="1" customWidth="1"/>
    <col min="8" max="8" width="15" bestFit="1" customWidth="1"/>
    <col min="9" max="9" width="15.36328125" bestFit="1" customWidth="1"/>
    <col min="10" max="12" width="15" bestFit="1" customWidth="1"/>
    <col min="13" max="13" width="13.1796875" bestFit="1" customWidth="1"/>
    <col min="16" max="16" width="12.36328125" bestFit="1" customWidth="1"/>
    <col min="17" max="17" width="12.36328125" customWidth="1"/>
    <col min="18" max="18" width="15" bestFit="1" customWidth="1"/>
    <col min="19" max="19" width="11.6328125" customWidth="1"/>
    <col min="20" max="20" width="15" bestFit="1" customWidth="1"/>
    <col min="21" max="21" width="18" bestFit="1" customWidth="1"/>
    <col min="22" max="22" width="21.1796875" bestFit="1" customWidth="1"/>
    <col min="23" max="23" width="16.81640625" bestFit="1" customWidth="1"/>
    <col min="24" max="24" width="20" bestFit="1" customWidth="1"/>
  </cols>
  <sheetData>
    <row r="1" spans="1:25" ht="18.5" x14ac:dyDescent="0.45">
      <c r="A1" s="1" t="s">
        <v>49</v>
      </c>
    </row>
    <row r="2" spans="1:25" x14ac:dyDescent="0.35">
      <c r="A2" s="2" t="s">
        <v>0</v>
      </c>
      <c r="C2" s="3">
        <v>0.40972222222222227</v>
      </c>
    </row>
    <row r="3" spans="1:25" x14ac:dyDescent="0.35">
      <c r="A3" s="2" t="s">
        <v>1</v>
      </c>
    </row>
    <row r="4" spans="1:25" x14ac:dyDescent="0.35">
      <c r="A4" s="2" t="s">
        <v>2</v>
      </c>
    </row>
    <row r="5" spans="1:25" x14ac:dyDescent="0.35">
      <c r="A5" s="2" t="s">
        <v>3</v>
      </c>
      <c r="C5">
        <f>9.127+1.035-9.15</f>
        <v>1.0120000000000005</v>
      </c>
    </row>
    <row r="6" spans="1:25" x14ac:dyDescent="0.35">
      <c r="A6" s="2" t="s">
        <v>4</v>
      </c>
      <c r="C6">
        <f>AVERAGE(G19:G23)/(180*60)</f>
        <v>5.5046296296296299E-4</v>
      </c>
    </row>
    <row r="7" spans="1:25" ht="15" thickBot="1" x14ac:dyDescent="0.4">
      <c r="A7" s="2" t="s">
        <v>5</v>
      </c>
      <c r="C7">
        <v>2140000</v>
      </c>
    </row>
    <row r="8" spans="1:25" x14ac:dyDescent="0.35">
      <c r="A8" s="4" t="s">
        <v>6</v>
      </c>
      <c r="B8" s="5"/>
      <c r="C8" s="6">
        <f>AVERAGE(V23:V25)</f>
        <v>-17.109196803985316</v>
      </c>
    </row>
    <row r="9" spans="1:25" ht="15" thickBot="1" x14ac:dyDescent="0.4">
      <c r="A9" s="7" t="s">
        <v>7</v>
      </c>
      <c r="B9" s="8"/>
      <c r="C9" s="9">
        <f>AVERAGE(X23:X25)</f>
        <v>-17.025898910125179</v>
      </c>
    </row>
    <row r="10" spans="1:25" x14ac:dyDescent="0.35">
      <c r="A10" s="10"/>
    </row>
    <row r="11" spans="1:25" x14ac:dyDescent="0.35">
      <c r="A11" s="2"/>
    </row>
    <row r="12" spans="1:25" ht="15" thickBot="1" x14ac:dyDescent="0.4"/>
    <row r="13" spans="1:25" x14ac:dyDescent="0.35">
      <c r="A13" s="11" t="s">
        <v>8</v>
      </c>
      <c r="B13" s="12"/>
      <c r="C13" s="12"/>
      <c r="D13" s="12"/>
      <c r="E13" s="13" t="s">
        <v>9</v>
      </c>
      <c r="F13" s="13"/>
      <c r="G13" s="13"/>
      <c r="H13" s="14"/>
      <c r="I13" s="14"/>
      <c r="J13" s="14"/>
      <c r="K13" s="15" t="s">
        <v>10</v>
      </c>
      <c r="L13" s="15"/>
      <c r="M13" s="15"/>
      <c r="N13" s="16" t="s">
        <v>10</v>
      </c>
      <c r="O13" s="16"/>
      <c r="P13" s="16"/>
      <c r="Q13" s="17" t="s">
        <v>11</v>
      </c>
      <c r="R13" s="18"/>
      <c r="S13" s="18"/>
      <c r="T13" s="18"/>
      <c r="U13" s="19" t="s">
        <v>12</v>
      </c>
      <c r="V13" s="20"/>
      <c r="W13" s="20"/>
      <c r="X13" s="20"/>
      <c r="Y13" s="21"/>
    </row>
    <row r="14" spans="1:25" ht="15" thickBot="1" x14ac:dyDescent="0.4">
      <c r="A14" s="22" t="s">
        <v>13</v>
      </c>
      <c r="B14" s="23" t="s">
        <v>14</v>
      </c>
      <c r="C14" s="23" t="s">
        <v>15</v>
      </c>
      <c r="D14" s="23" t="s">
        <v>16</v>
      </c>
      <c r="E14" s="24" t="s">
        <v>17</v>
      </c>
      <c r="F14" s="24" t="s">
        <v>18</v>
      </c>
      <c r="G14" s="24" t="s">
        <v>19</v>
      </c>
      <c r="H14" s="24" t="s">
        <v>20</v>
      </c>
      <c r="I14" s="24" t="s">
        <v>21</v>
      </c>
      <c r="J14" s="24" t="s">
        <v>22</v>
      </c>
      <c r="K14" s="25" t="s">
        <v>21</v>
      </c>
      <c r="L14" s="25" t="s">
        <v>23</v>
      </c>
      <c r="M14" s="25" t="s">
        <v>24</v>
      </c>
      <c r="N14" s="26" t="s">
        <v>25</v>
      </c>
      <c r="O14" s="26" t="s">
        <v>26</v>
      </c>
      <c r="P14" s="26" t="s">
        <v>27</v>
      </c>
      <c r="Q14" s="27" t="s">
        <v>28</v>
      </c>
      <c r="R14" s="27" t="s">
        <v>29</v>
      </c>
      <c r="S14" s="27" t="s">
        <v>30</v>
      </c>
      <c r="T14" s="27" t="s">
        <v>31</v>
      </c>
      <c r="U14" s="29" t="s">
        <v>32</v>
      </c>
      <c r="V14" s="29" t="s">
        <v>33</v>
      </c>
      <c r="W14" s="29" t="s">
        <v>34</v>
      </c>
      <c r="X14" s="29" t="s">
        <v>35</v>
      </c>
      <c r="Y14" s="30" t="s">
        <v>36</v>
      </c>
    </row>
    <row r="15" spans="1:25" x14ac:dyDescent="0.35">
      <c r="A15" s="35">
        <v>1</v>
      </c>
      <c r="B15" s="38">
        <v>43585</v>
      </c>
      <c r="C15" s="33">
        <v>0.4375</v>
      </c>
      <c r="D15" s="37">
        <f>40/60</f>
        <v>0.66666666666666663</v>
      </c>
      <c r="E15" s="35">
        <v>6.7009999999999996</v>
      </c>
      <c r="F15" s="35">
        <v>15.281000000000001</v>
      </c>
      <c r="G15" s="31">
        <f t="shared" ref="G15:G25" si="0">F15-E15</f>
        <v>8.5800000000000018</v>
      </c>
      <c r="H15" s="35">
        <v>8.41</v>
      </c>
      <c r="I15" s="35">
        <v>3.8090000000000002</v>
      </c>
      <c r="J15" s="35">
        <v>5.1999999999999998E-2</v>
      </c>
      <c r="K15" s="35">
        <v>0.49399999999999999</v>
      </c>
      <c r="L15" s="35">
        <v>4.9690000000000003</v>
      </c>
      <c r="M15" s="31">
        <f t="shared" ref="M15:M25" si="1">((I15+J15)/I15)*(L15/K15)</f>
        <v>10.1960246507579</v>
      </c>
      <c r="N15" s="35">
        <v>0.3</v>
      </c>
      <c r="O15" s="35">
        <v>10.023</v>
      </c>
      <c r="P15" s="31">
        <f t="shared" ref="P15:P25" si="2">O15/N15</f>
        <v>33.410000000000004</v>
      </c>
      <c r="Q15" s="31">
        <v>3.8893200000000001</v>
      </c>
      <c r="R15" s="31">
        <f t="shared" ref="R15:R25" si="3">Q15/24.305*M15</f>
        <v>1.631582085771887</v>
      </c>
      <c r="S15" s="31">
        <v>4.7409999999999997</v>
      </c>
      <c r="T15" s="31">
        <f>S15/60.08*P15</f>
        <v>2.6364315912117178</v>
      </c>
      <c r="U15" s="31">
        <f t="shared" ref="U15:U25" si="4">((($O$31-R15)*10^(-6))*$C$6)/($C$7*$C$5*4)</f>
        <v>2.7610631721641878E-18</v>
      </c>
      <c r="V15" s="31">
        <f t="shared" ref="V15:V25" si="5">LOG(U15)</f>
        <v>-17.558923656740504</v>
      </c>
      <c r="W15" s="31">
        <f t="shared" ref="W15:W25" si="6">((($Q$31-T15)*10^(-6))*$C$6)/($C$7*$C$5*6)</f>
        <v>2.0549948715314795E-19</v>
      </c>
      <c r="X15" s="31">
        <f t="shared" ref="X15:X25" si="7">LOG(W15)</f>
        <v>-18.687189257616797</v>
      </c>
      <c r="Y15" s="31">
        <f t="shared" ref="Y15:Y25" si="8">($Q$31-T15)/($O$31-R15)</f>
        <v>0.11164149876661776</v>
      </c>
    </row>
    <row r="16" spans="1:25" x14ac:dyDescent="0.35">
      <c r="A16" s="35">
        <v>2</v>
      </c>
      <c r="B16" s="32">
        <v>43585</v>
      </c>
      <c r="C16" s="33">
        <v>0.72916666666666663</v>
      </c>
      <c r="D16" s="37">
        <f>D15+7</f>
        <v>7.666666666666667</v>
      </c>
      <c r="E16" s="35">
        <v>6.6479999999999997</v>
      </c>
      <c r="F16" s="35">
        <v>12.781000000000001</v>
      </c>
      <c r="G16" s="31">
        <f t="shared" si="0"/>
        <v>6.1330000000000009</v>
      </c>
      <c r="H16" s="35">
        <v>7.78</v>
      </c>
      <c r="I16" s="35">
        <v>2.7719999999999998</v>
      </c>
      <c r="J16" s="35">
        <v>6.3E-2</v>
      </c>
      <c r="K16" s="35">
        <v>0.50800000000000001</v>
      </c>
      <c r="L16" s="35">
        <v>4.99</v>
      </c>
      <c r="M16" s="31">
        <f t="shared" si="1"/>
        <v>10.04608088761632</v>
      </c>
      <c r="N16" s="35">
        <v>0.30499999999999999</v>
      </c>
      <c r="O16" s="35">
        <v>10.028</v>
      </c>
      <c r="P16" s="31">
        <f t="shared" si="2"/>
        <v>32.878688524590167</v>
      </c>
      <c r="Q16" s="35">
        <v>3.69014</v>
      </c>
      <c r="R16" s="31">
        <f t="shared" si="3"/>
        <v>1.5252600257818758</v>
      </c>
      <c r="S16" s="35">
        <v>4.5278999999999998</v>
      </c>
      <c r="T16" s="31">
        <f t="shared" ref="T16:T25" si="9">S16/60.08*P16</f>
        <v>2.4778863810001965</v>
      </c>
      <c r="U16" s="31">
        <f t="shared" si="4"/>
        <v>9.5171809008253304E-18</v>
      </c>
      <c r="V16" s="31">
        <f t="shared" si="5"/>
        <v>-17.021491675620396</v>
      </c>
      <c r="W16" s="31">
        <f t="shared" si="6"/>
        <v>6.9218861937626009E-18</v>
      </c>
      <c r="X16" s="31">
        <f t="shared" si="7"/>
        <v>-17.159775545438773</v>
      </c>
      <c r="Y16" s="31">
        <f t="shared" si="8"/>
        <v>1.0909563870687278</v>
      </c>
    </row>
    <row r="17" spans="1:25" x14ac:dyDescent="0.35">
      <c r="A17" s="31">
        <v>3</v>
      </c>
      <c r="B17" s="38">
        <v>43586</v>
      </c>
      <c r="C17" s="36">
        <v>0.38541666666666669</v>
      </c>
      <c r="D17" s="37">
        <f>24-35/60</f>
        <v>23.416666666666668</v>
      </c>
      <c r="E17" s="35">
        <v>6.6920000000000002</v>
      </c>
      <c r="F17" s="35">
        <v>12.711</v>
      </c>
      <c r="G17" s="31">
        <f t="shared" si="0"/>
        <v>6.0190000000000001</v>
      </c>
      <c r="H17" s="35">
        <v>7.46</v>
      </c>
      <c r="I17" s="35">
        <v>2.6150000000000002</v>
      </c>
      <c r="J17" s="35">
        <v>3.5000000000000003E-2</v>
      </c>
      <c r="K17" s="35">
        <v>0.502</v>
      </c>
      <c r="L17" s="35">
        <v>4.9749999999999996</v>
      </c>
      <c r="M17" s="31">
        <f t="shared" si="1"/>
        <v>10.043001988223017</v>
      </c>
      <c r="N17" s="35">
        <v>0.30599999999999999</v>
      </c>
      <c r="O17" s="35">
        <v>10.076000000000001</v>
      </c>
      <c r="P17" s="31">
        <f t="shared" si="2"/>
        <v>32.928104575163403</v>
      </c>
      <c r="Q17" s="35">
        <v>3.7016200000000001</v>
      </c>
      <c r="R17" s="31">
        <f t="shared" si="3"/>
        <v>1.5295361867782797</v>
      </c>
      <c r="S17" s="35">
        <v>4.3666999999999998</v>
      </c>
      <c r="T17" s="31">
        <f t="shared" si="9"/>
        <v>2.3932615553989018</v>
      </c>
      <c r="U17" s="31">
        <f t="shared" si="4"/>
        <v>9.2454569789870197E-18</v>
      </c>
      <c r="V17" s="31">
        <f t="shared" si="5"/>
        <v>-17.034071617923136</v>
      </c>
      <c r="W17" s="31">
        <f t="shared" si="6"/>
        <v>1.0506813502253286E-17</v>
      </c>
      <c r="X17" s="31">
        <f t="shared" si="7"/>
        <v>-16.978528976475804</v>
      </c>
      <c r="Y17" s="31">
        <f t="shared" si="8"/>
        <v>1.7046448097914033</v>
      </c>
    </row>
    <row r="18" spans="1:25" x14ac:dyDescent="0.35">
      <c r="A18" s="35">
        <v>4</v>
      </c>
      <c r="B18" s="32">
        <v>43586</v>
      </c>
      <c r="C18" s="36">
        <v>0.61458333333333337</v>
      </c>
      <c r="D18" s="37">
        <f>D17+5</f>
        <v>28.416666666666668</v>
      </c>
      <c r="E18" s="35">
        <v>6.665</v>
      </c>
      <c r="F18" s="35">
        <v>12.837</v>
      </c>
      <c r="G18" s="31">
        <f t="shared" si="0"/>
        <v>6.1719999999999997</v>
      </c>
      <c r="H18" s="35">
        <v>7.43</v>
      </c>
      <c r="I18" s="35">
        <v>2.871</v>
      </c>
      <c r="J18" s="35">
        <v>4.7E-2</v>
      </c>
      <c r="K18" s="35">
        <v>0.501</v>
      </c>
      <c r="L18" s="35">
        <v>4.9770000000000003</v>
      </c>
      <c r="M18" s="31">
        <f t="shared" si="1"/>
        <v>10.096759459138152</v>
      </c>
      <c r="N18" s="35">
        <v>0.3</v>
      </c>
      <c r="O18" s="35">
        <v>10.007999999999999</v>
      </c>
      <c r="P18" s="31">
        <f t="shared" si="2"/>
        <v>33.36</v>
      </c>
      <c r="Q18" s="35">
        <v>3.6556600000000001</v>
      </c>
      <c r="R18" s="31">
        <f t="shared" si="3"/>
        <v>1.5186307214315153</v>
      </c>
      <c r="S18" s="35">
        <v>4.3296000000000001</v>
      </c>
      <c r="T18" s="31">
        <f t="shared" si="9"/>
        <v>2.4040521970705728</v>
      </c>
      <c r="U18" s="31">
        <f t="shared" si="4"/>
        <v>9.9384327149302147E-18</v>
      </c>
      <c r="V18" s="31">
        <f t="shared" si="5"/>
        <v>-17.002682098190679</v>
      </c>
      <c r="W18" s="31">
        <f t="shared" si="6"/>
        <v>1.0049693907263904E-17</v>
      </c>
      <c r="X18" s="31">
        <f t="shared" si="7"/>
        <v>-16.997847165747043</v>
      </c>
      <c r="Y18" s="31">
        <f t="shared" si="8"/>
        <v>1.5167925661205934</v>
      </c>
    </row>
    <row r="19" spans="1:25" x14ac:dyDescent="0.35">
      <c r="A19" s="35">
        <v>5</v>
      </c>
      <c r="B19" s="32">
        <v>43587</v>
      </c>
      <c r="C19" s="36">
        <v>0.65625</v>
      </c>
      <c r="D19" s="37">
        <f>D18+25</f>
        <v>53.416666666666671</v>
      </c>
      <c r="E19" s="35">
        <v>6.6619999999999999</v>
      </c>
      <c r="F19" s="35">
        <v>12.644</v>
      </c>
      <c r="G19" s="31">
        <f t="shared" si="0"/>
        <v>5.9820000000000002</v>
      </c>
      <c r="H19" s="35">
        <v>7.46</v>
      </c>
      <c r="I19" s="35">
        <v>2.6840000000000002</v>
      </c>
      <c r="J19" s="35">
        <v>6.2E-2</v>
      </c>
      <c r="K19" s="35">
        <v>0.51500000000000001</v>
      </c>
      <c r="L19" s="35">
        <v>4.9870000000000001</v>
      </c>
      <c r="M19" s="31">
        <f t="shared" si="1"/>
        <v>9.907182440351308</v>
      </c>
      <c r="N19" s="35">
        <v>0.30199999999999999</v>
      </c>
      <c r="O19" s="35">
        <v>10.005000000000001</v>
      </c>
      <c r="P19" s="31">
        <f t="shared" si="2"/>
        <v>33.129139072847686</v>
      </c>
      <c r="Q19" s="35">
        <v>3.65367</v>
      </c>
      <c r="R19" s="31">
        <f t="shared" si="3"/>
        <v>1.4893057093947073</v>
      </c>
      <c r="S19" s="35">
        <v>4.2668999999999997</v>
      </c>
      <c r="T19" s="31">
        <f t="shared" si="9"/>
        <v>2.352841603028192</v>
      </c>
      <c r="U19" s="31">
        <f t="shared" si="4"/>
        <v>1.1801858176529564E-17</v>
      </c>
      <c r="V19" s="31">
        <f t="shared" si="5"/>
        <v>-16.92804960860235</v>
      </c>
      <c r="W19" s="31">
        <f t="shared" si="6"/>
        <v>1.2219107619636183E-17</v>
      </c>
      <c r="X19" s="31">
        <f t="shared" si="7"/>
        <v>-16.912960510134326</v>
      </c>
      <c r="Y19" s="31">
        <f t="shared" si="8"/>
        <v>1.5530318323859045</v>
      </c>
    </row>
    <row r="20" spans="1:25" x14ac:dyDescent="0.35">
      <c r="A20" s="31">
        <v>6</v>
      </c>
      <c r="B20" s="32">
        <v>43588</v>
      </c>
      <c r="C20" s="36">
        <v>0.40277777777777773</v>
      </c>
      <c r="D20" s="37">
        <f>D17+2*24+25/60</f>
        <v>71.833333333333343</v>
      </c>
      <c r="E20" s="35">
        <v>6.6150000000000002</v>
      </c>
      <c r="F20" s="35">
        <v>12.603999999999999</v>
      </c>
      <c r="G20" s="31">
        <f t="shared" si="0"/>
        <v>5.988999999999999</v>
      </c>
      <c r="H20" s="35">
        <v>7.46</v>
      </c>
      <c r="I20" s="35">
        <v>2.5059999999999998</v>
      </c>
      <c r="J20" s="35">
        <v>6.5000000000000002E-2</v>
      </c>
      <c r="K20" s="35">
        <v>0.50900000000000001</v>
      </c>
      <c r="L20" s="35">
        <v>4.99</v>
      </c>
      <c r="M20" s="31">
        <f t="shared" si="1"/>
        <v>10.057818014760645</v>
      </c>
      <c r="N20" s="35">
        <v>0.30599999999999999</v>
      </c>
      <c r="O20" s="35">
        <v>9.9670000000000005</v>
      </c>
      <c r="P20" s="31">
        <f t="shared" si="2"/>
        <v>32.571895424836605</v>
      </c>
      <c r="Q20" s="35">
        <v>3.6242399999999999</v>
      </c>
      <c r="R20" s="31">
        <f t="shared" si="3"/>
        <v>1.4997715022347715</v>
      </c>
      <c r="S20" s="35">
        <v>4.4047000000000001</v>
      </c>
      <c r="T20" s="31">
        <f t="shared" si="9"/>
        <v>2.3879731654090848</v>
      </c>
      <c r="U20" s="31">
        <f t="shared" si="4"/>
        <v>1.1136820943824558E-17</v>
      </c>
      <c r="V20" s="31">
        <f t="shared" si="5"/>
        <v>-16.95323876280608</v>
      </c>
      <c r="W20" s="31">
        <f t="shared" si="6"/>
        <v>1.0730843431505561E-17</v>
      </c>
      <c r="X20" s="31">
        <f t="shared" si="7"/>
        <v>-16.969366141663773</v>
      </c>
      <c r="Y20" s="31">
        <f t="shared" si="8"/>
        <v>1.4453195600836006</v>
      </c>
    </row>
    <row r="21" spans="1:25" x14ac:dyDescent="0.35">
      <c r="A21" s="35">
        <v>7</v>
      </c>
      <c r="B21" s="32">
        <v>43589</v>
      </c>
      <c r="C21" s="36">
        <v>0.39583333333333331</v>
      </c>
      <c r="D21" s="37">
        <f>D20+24-10/60</f>
        <v>95.666666666666671</v>
      </c>
      <c r="E21" s="35">
        <v>6.6719999999999997</v>
      </c>
      <c r="F21" s="35">
        <v>12.827</v>
      </c>
      <c r="G21" s="31">
        <f t="shared" si="0"/>
        <v>6.1550000000000002</v>
      </c>
      <c r="H21" s="35">
        <v>7.8</v>
      </c>
      <c r="I21" s="35">
        <v>2.6749999999999998</v>
      </c>
      <c r="J21" s="35">
        <v>4.8000000000000001E-2</v>
      </c>
      <c r="K21" s="35">
        <v>0.51300000000000001</v>
      </c>
      <c r="L21" s="35">
        <v>5.0149999999999997</v>
      </c>
      <c r="M21" s="31">
        <f t="shared" si="1"/>
        <v>9.951245195022862</v>
      </c>
      <c r="N21" s="35">
        <v>0.497</v>
      </c>
      <c r="O21" s="35">
        <v>10.207000000000001</v>
      </c>
      <c r="P21" s="31">
        <f t="shared" si="2"/>
        <v>20.537223340040242</v>
      </c>
      <c r="Q21" s="35">
        <v>3.6877499999999999</v>
      </c>
      <c r="R21" s="31">
        <f t="shared" si="3"/>
        <v>1.5098829240051659</v>
      </c>
      <c r="S21" s="35">
        <v>7.0571000000000002</v>
      </c>
      <c r="T21" s="31">
        <f t="shared" si="9"/>
        <v>2.4123375305092876</v>
      </c>
      <c r="U21" s="31">
        <f t="shared" si="4"/>
        <v>1.049430182886996E-17</v>
      </c>
      <c r="V21" s="31">
        <f t="shared" si="5"/>
        <v>-16.979046449121135</v>
      </c>
      <c r="W21" s="31">
        <f t="shared" si="6"/>
        <v>9.6987056730979614E-18</v>
      </c>
      <c r="X21" s="31">
        <f t="shared" si="7"/>
        <v>-17.013286220016031</v>
      </c>
      <c r="Y21" s="31">
        <f t="shared" si="8"/>
        <v>1.3862816933304742</v>
      </c>
    </row>
    <row r="22" spans="1:25" x14ac:dyDescent="0.35">
      <c r="A22" s="35">
        <v>8</v>
      </c>
      <c r="B22" s="32">
        <v>43591</v>
      </c>
      <c r="C22" s="36">
        <v>0.56944444444444442</v>
      </c>
      <c r="D22" s="37">
        <f>D21+2*24+4+1/6</f>
        <v>147.83333333333334</v>
      </c>
      <c r="E22" s="35">
        <v>6.6920000000000002</v>
      </c>
      <c r="F22" s="35">
        <v>12.417999999999999</v>
      </c>
      <c r="G22" s="31">
        <f t="shared" si="0"/>
        <v>5.7259999999999991</v>
      </c>
      <c r="H22" s="35">
        <v>7.68</v>
      </c>
      <c r="I22" s="35">
        <v>2.7810000000000001</v>
      </c>
      <c r="J22" s="35">
        <v>3.7999999999999999E-2</v>
      </c>
      <c r="K22" s="35">
        <v>0.51400000000000001</v>
      </c>
      <c r="L22" s="35">
        <v>5.0179999999999998</v>
      </c>
      <c r="M22" s="31">
        <f t="shared" si="1"/>
        <v>9.8960441685310379</v>
      </c>
      <c r="N22" s="35">
        <v>0.30299999999999999</v>
      </c>
      <c r="O22" s="35">
        <v>9.9589999999999996</v>
      </c>
      <c r="P22" s="31">
        <f t="shared" si="2"/>
        <v>32.867986798679866</v>
      </c>
      <c r="Q22" s="35">
        <v>3.7719499999999999</v>
      </c>
      <c r="R22" s="31">
        <f t="shared" si="3"/>
        <v>1.5357903230401417</v>
      </c>
      <c r="S22" s="35">
        <v>4.3463000000000003</v>
      </c>
      <c r="T22" s="31">
        <f t="shared" si="9"/>
        <v>2.3777318745523019</v>
      </c>
      <c r="U22" s="31">
        <f t="shared" si="4"/>
        <v>8.8480448061961802E-18</v>
      </c>
      <c r="V22" s="31">
        <f t="shared" si="5"/>
        <v>-17.053152686781409</v>
      </c>
      <c r="W22" s="31">
        <f t="shared" si="6"/>
        <v>1.1164691099796826E-17</v>
      </c>
      <c r="X22" s="31">
        <f t="shared" si="7"/>
        <v>-16.952153288312161</v>
      </c>
      <c r="Y22" s="31">
        <f t="shared" si="8"/>
        <v>1.8927386802977637</v>
      </c>
    </row>
    <row r="23" spans="1:25" x14ac:dyDescent="0.35">
      <c r="A23" s="31">
        <v>9</v>
      </c>
      <c r="B23" s="32">
        <v>43592</v>
      </c>
      <c r="C23" s="36">
        <v>0.40972222222222227</v>
      </c>
      <c r="D23" s="37">
        <f>D21+3*24+2/6</f>
        <v>168.00000000000003</v>
      </c>
      <c r="E23" s="35">
        <v>6.7359999999999998</v>
      </c>
      <c r="F23" s="35">
        <v>12.609</v>
      </c>
      <c r="G23" s="31">
        <f t="shared" si="0"/>
        <v>5.8730000000000002</v>
      </c>
      <c r="H23" s="35">
        <v>7.59</v>
      </c>
      <c r="I23" s="35">
        <v>2.6139999999999999</v>
      </c>
      <c r="J23" s="35">
        <v>3.5999999999999997E-2</v>
      </c>
      <c r="K23" s="35">
        <v>0.51100000000000001</v>
      </c>
      <c r="L23" s="35">
        <v>4.9980000000000002</v>
      </c>
      <c r="M23" s="31">
        <f t="shared" si="1"/>
        <v>9.9155233673266192</v>
      </c>
      <c r="N23" s="35">
        <v>0.307</v>
      </c>
      <c r="O23" s="35">
        <v>9.9109999999999996</v>
      </c>
      <c r="P23" s="31">
        <f t="shared" si="2"/>
        <v>32.283387622149839</v>
      </c>
      <c r="Q23" s="35">
        <v>3.77671</v>
      </c>
      <c r="R23" s="31">
        <f t="shared" si="3"/>
        <v>1.5407552461064027</v>
      </c>
      <c r="S23" s="35">
        <v>4.4353999999999996</v>
      </c>
      <c r="T23" s="31">
        <f t="shared" si="9"/>
        <v>2.3833178671651698</v>
      </c>
      <c r="U23" s="31">
        <f t="shared" si="4"/>
        <v>8.5325542602779054E-18</v>
      </c>
      <c r="V23" s="31">
        <f t="shared" si="5"/>
        <v>-17.068920941272076</v>
      </c>
      <c r="W23" s="31">
        <f t="shared" si="6"/>
        <v>1.0928053950820641E-17</v>
      </c>
      <c r="X23" s="31">
        <f t="shared" si="7"/>
        <v>-16.961457169584406</v>
      </c>
      <c r="Y23" s="31">
        <f t="shared" si="8"/>
        <v>1.9211223774505566</v>
      </c>
    </row>
    <row r="24" spans="1:25" x14ac:dyDescent="0.35">
      <c r="A24" s="35">
        <v>10</v>
      </c>
      <c r="B24" s="32">
        <v>43592</v>
      </c>
      <c r="C24" s="36">
        <v>0.75</v>
      </c>
      <c r="D24" s="37">
        <f>D23+8+10/60</f>
        <v>176.16666666666669</v>
      </c>
      <c r="E24" s="35">
        <v>6.57</v>
      </c>
      <c r="F24" s="35">
        <v>12.699</v>
      </c>
      <c r="G24" s="31">
        <f t="shared" si="0"/>
        <v>6.1289999999999996</v>
      </c>
      <c r="H24" s="35">
        <v>7.57</v>
      </c>
      <c r="I24" s="35">
        <v>2.72</v>
      </c>
      <c r="J24" s="35">
        <v>4.7E-2</v>
      </c>
      <c r="K24" s="35">
        <v>0.51300000000000001</v>
      </c>
      <c r="L24" s="35">
        <v>5</v>
      </c>
      <c r="M24" s="31">
        <f t="shared" si="1"/>
        <v>9.9150040133012265</v>
      </c>
      <c r="N24" s="35">
        <v>0.30499999999999999</v>
      </c>
      <c r="O24" s="35">
        <v>10.003</v>
      </c>
      <c r="P24" s="31">
        <f t="shared" si="2"/>
        <v>32.796721311475409</v>
      </c>
      <c r="Q24" s="35">
        <v>3.8386300000000002</v>
      </c>
      <c r="R24" s="31">
        <f t="shared" si="3"/>
        <v>1.5659342462694297</v>
      </c>
      <c r="S24" s="35">
        <v>4.4398</v>
      </c>
      <c r="T24" s="31">
        <f t="shared" si="9"/>
        <v>2.4236165658902884</v>
      </c>
      <c r="U24" s="31">
        <f t="shared" si="4"/>
        <v>6.9325825384417185E-18</v>
      </c>
      <c r="V24" s="31">
        <f t="shared" si="5"/>
        <v>-17.15910495106472</v>
      </c>
      <c r="W24" s="31">
        <f t="shared" si="6"/>
        <v>9.2208964526537419E-18</v>
      </c>
      <c r="X24" s="31">
        <f t="shared" si="7"/>
        <v>-17.035226854920861</v>
      </c>
      <c r="Y24" s="31">
        <f t="shared" si="8"/>
        <v>1.9951215297163374</v>
      </c>
    </row>
    <row r="25" spans="1:25" x14ac:dyDescent="0.35">
      <c r="A25" s="35">
        <v>11</v>
      </c>
      <c r="B25" s="32">
        <v>43593</v>
      </c>
      <c r="C25" s="36">
        <v>0.38541666666666669</v>
      </c>
      <c r="D25" s="37">
        <f>D23+24-45/60</f>
        <v>191.25000000000003</v>
      </c>
      <c r="E25" s="35">
        <v>6.7</v>
      </c>
      <c r="F25" s="35">
        <v>13.507</v>
      </c>
      <c r="G25" s="31">
        <f t="shared" si="0"/>
        <v>6.8069999999999995</v>
      </c>
      <c r="H25" s="35">
        <v>7.69</v>
      </c>
      <c r="I25" s="35">
        <v>3.1240000000000001</v>
      </c>
      <c r="J25" s="35">
        <v>5.3999999999999999E-2</v>
      </c>
      <c r="K25" s="35">
        <v>0.51200000000000001</v>
      </c>
      <c r="L25" s="35">
        <v>5.032</v>
      </c>
      <c r="M25" s="31">
        <f t="shared" si="1"/>
        <v>9.9980093629961591</v>
      </c>
      <c r="N25" s="35">
        <v>0.30299999999999999</v>
      </c>
      <c r="O25" s="35">
        <v>10.031000000000001</v>
      </c>
      <c r="P25" s="31">
        <f t="shared" si="2"/>
        <v>33.10561056105611</v>
      </c>
      <c r="Q25" s="35">
        <v>3.7677900000000002</v>
      </c>
      <c r="R25" s="31">
        <f t="shared" si="3"/>
        <v>1.5499032996421847</v>
      </c>
      <c r="S25" s="35">
        <v>4.4379</v>
      </c>
      <c r="T25" s="31">
        <f t="shared" si="9"/>
        <v>2.4453959572055743</v>
      </c>
      <c r="U25" s="31">
        <f t="shared" si="4"/>
        <v>7.951251314476777E-18</v>
      </c>
      <c r="V25" s="31">
        <f t="shared" si="5"/>
        <v>-17.099564519619157</v>
      </c>
      <c r="W25" s="31">
        <f t="shared" si="6"/>
        <v>8.2982648946717897E-18</v>
      </c>
      <c r="X25" s="31">
        <f t="shared" si="7"/>
        <v>-17.081012705870261</v>
      </c>
      <c r="Y25" s="31">
        <f t="shared" si="8"/>
        <v>1.5654639565152233</v>
      </c>
    </row>
    <row r="28" spans="1:25" ht="15" thickBot="1" x14ac:dyDescent="0.4"/>
    <row r="29" spans="1:25" x14ac:dyDescent="0.35">
      <c r="A29" s="11" t="s">
        <v>8</v>
      </c>
      <c r="B29" s="12"/>
      <c r="C29" s="12"/>
      <c r="D29" s="12"/>
      <c r="E29" s="13" t="s">
        <v>9</v>
      </c>
      <c r="F29" s="14"/>
      <c r="G29" s="14"/>
      <c r="H29" s="15" t="s">
        <v>10</v>
      </c>
      <c r="I29" s="15"/>
      <c r="J29" s="15"/>
      <c r="K29" s="16" t="s">
        <v>10</v>
      </c>
      <c r="L29" s="16"/>
      <c r="M29" s="16"/>
      <c r="N29" s="17" t="s">
        <v>11</v>
      </c>
      <c r="O29" s="18"/>
      <c r="P29" s="18"/>
      <c r="Q29" s="40"/>
    </row>
    <row r="30" spans="1:25" ht="15" thickBot="1" x14ac:dyDescent="0.4">
      <c r="A30" s="22" t="s">
        <v>13</v>
      </c>
      <c r="B30" s="23" t="s">
        <v>14</v>
      </c>
      <c r="C30" s="23" t="s">
        <v>15</v>
      </c>
      <c r="D30" s="23" t="s">
        <v>16</v>
      </c>
      <c r="E30" s="24" t="s">
        <v>20</v>
      </c>
      <c r="F30" s="24" t="s">
        <v>21</v>
      </c>
      <c r="G30" s="24" t="s">
        <v>22</v>
      </c>
      <c r="H30" s="25" t="s">
        <v>21</v>
      </c>
      <c r="I30" s="25" t="s">
        <v>23</v>
      </c>
      <c r="J30" s="25" t="s">
        <v>24</v>
      </c>
      <c r="K30" s="26" t="s">
        <v>25</v>
      </c>
      <c r="L30" s="26" t="s">
        <v>26</v>
      </c>
      <c r="M30" s="26" t="s">
        <v>27</v>
      </c>
      <c r="N30" s="27" t="s">
        <v>28</v>
      </c>
      <c r="O30" s="27" t="s">
        <v>29</v>
      </c>
      <c r="P30" s="27" t="s">
        <v>30</v>
      </c>
      <c r="Q30" s="41" t="s">
        <v>31</v>
      </c>
    </row>
    <row r="31" spans="1:25" x14ac:dyDescent="0.35">
      <c r="A31" s="31">
        <v>1</v>
      </c>
      <c r="B31" s="32">
        <v>43585</v>
      </c>
      <c r="C31" s="33">
        <v>0.4236111111111111</v>
      </c>
      <c r="D31" s="34">
        <v>0</v>
      </c>
      <c r="E31" s="31">
        <v>9.2100000000000009</v>
      </c>
      <c r="F31" s="31">
        <v>4.3860000000000001</v>
      </c>
      <c r="G31" s="31">
        <v>9.7000000000000003E-2</v>
      </c>
      <c r="H31" s="31">
        <v>0.51400000000000001</v>
      </c>
      <c r="I31" s="31">
        <v>4.9509999999999996</v>
      </c>
      <c r="J31" s="31">
        <f>((F31+G31)/F31)*(I31/H31)</f>
        <v>9.8453218677752528</v>
      </c>
      <c r="K31" s="31">
        <v>0.3</v>
      </c>
      <c r="L31" s="31">
        <v>9.9979999999999993</v>
      </c>
      <c r="M31" s="31">
        <f>L31/K31</f>
        <v>33.326666666666668</v>
      </c>
      <c r="N31" s="31">
        <v>4.1351300000000002</v>
      </c>
      <c r="O31" s="31">
        <f>N31/24.305*J31</f>
        <v>1.675033360012075</v>
      </c>
      <c r="P31" s="31">
        <v>4.7615999999999996</v>
      </c>
      <c r="Q31" s="31">
        <f>P31/60.08*M31</f>
        <v>2.6412825565912117</v>
      </c>
    </row>
    <row r="32" spans="1:25" x14ac:dyDescent="0.35">
      <c r="A32" s="35">
        <v>2</v>
      </c>
      <c r="B32" s="38">
        <v>43588</v>
      </c>
      <c r="C32" s="36">
        <v>0.40625</v>
      </c>
      <c r="D32" s="37">
        <f>3*24-5/60</f>
        <v>71.916666666666671</v>
      </c>
      <c r="E32" s="35">
        <v>8.94</v>
      </c>
      <c r="F32" s="35">
        <v>3.012</v>
      </c>
      <c r="G32" s="35">
        <v>5.5E-2</v>
      </c>
      <c r="H32" s="35">
        <v>0.51600000000000001</v>
      </c>
      <c r="I32" s="35">
        <v>4.9219999999999997</v>
      </c>
      <c r="J32" s="31">
        <f t="shared" ref="J32:J34" si="10">((F32+G32)/F32)*(I32/H32)</f>
        <v>9.7129402287490851</v>
      </c>
      <c r="K32" s="35">
        <v>0.30099999999999999</v>
      </c>
      <c r="L32" s="35">
        <v>10.003</v>
      </c>
      <c r="M32" s="31">
        <f t="shared" ref="M32:M35" si="11">L32/K32</f>
        <v>33.232558139534888</v>
      </c>
      <c r="N32" s="35">
        <v>4.2134099999999997</v>
      </c>
      <c r="O32" s="31">
        <f t="shared" ref="O32:O35" si="12">N32/24.305*J32</f>
        <v>1.683793437120497</v>
      </c>
      <c r="P32" s="35">
        <v>4.8163</v>
      </c>
      <c r="Q32" s="31">
        <f t="shared" ref="Q32:Q35" si="13">P32/60.08*M32</f>
        <v>2.6640807218282605</v>
      </c>
    </row>
    <row r="33" spans="1:17" x14ac:dyDescent="0.35">
      <c r="A33" s="31">
        <v>3</v>
      </c>
      <c r="B33" s="32">
        <v>43589</v>
      </c>
      <c r="C33" s="33">
        <v>0.48958333333333331</v>
      </c>
      <c r="D33" s="34">
        <f>D32+24+2</f>
        <v>97.916666666666671</v>
      </c>
      <c r="E33" s="31">
        <v>9.08</v>
      </c>
      <c r="F33" s="31">
        <v>2.851</v>
      </c>
      <c r="G33" s="31">
        <v>2.8000000000000001E-2</v>
      </c>
      <c r="H33" s="31">
        <v>0.51400000000000001</v>
      </c>
      <c r="I33" s="31">
        <v>5</v>
      </c>
      <c r="J33" s="31">
        <f t="shared" si="10"/>
        <v>9.8231626011488906</v>
      </c>
      <c r="K33" s="31">
        <v>0.30499999999999999</v>
      </c>
      <c r="L33" s="31">
        <v>10.067</v>
      </c>
      <c r="M33" s="31">
        <f t="shared" si="11"/>
        <v>33.006557377049184</v>
      </c>
      <c r="N33" s="35">
        <v>4.3146699999999996</v>
      </c>
      <c r="O33" s="31">
        <f t="shared" si="12"/>
        <v>1.7438265780826612</v>
      </c>
      <c r="P33" s="35">
        <v>4.8418000000000001</v>
      </c>
      <c r="Q33" s="31">
        <f t="shared" si="13"/>
        <v>2.6599725284320366</v>
      </c>
    </row>
    <row r="34" spans="1:17" x14ac:dyDescent="0.35">
      <c r="A34" s="35">
        <v>4</v>
      </c>
      <c r="B34" s="38">
        <v>43593</v>
      </c>
      <c r="C34" s="36">
        <v>0.39583333333333331</v>
      </c>
      <c r="D34" s="37">
        <f>D33+4*24-2-15/60</f>
        <v>191.66666666666669</v>
      </c>
      <c r="E34" s="35">
        <v>9.3000000000000007</v>
      </c>
      <c r="F34" s="35">
        <v>3.2480000000000002</v>
      </c>
      <c r="G34" s="35">
        <v>5.2999999999999999E-2</v>
      </c>
      <c r="H34" s="35">
        <v>0.51300000000000001</v>
      </c>
      <c r="I34" s="35">
        <v>5.0199999999999996</v>
      </c>
      <c r="J34" s="31">
        <f t="shared" si="10"/>
        <v>9.9452534593187938</v>
      </c>
      <c r="K34" s="35">
        <v>0.307</v>
      </c>
      <c r="L34" s="35">
        <v>10.037000000000001</v>
      </c>
      <c r="M34" s="31">
        <f t="shared" si="11"/>
        <v>32.693811074918571</v>
      </c>
      <c r="N34" s="35">
        <v>4.2965400000000002</v>
      </c>
      <c r="O34" s="31">
        <f t="shared" si="12"/>
        <v>1.7580818472784026</v>
      </c>
      <c r="P34" s="35">
        <v>4.9931000000000001</v>
      </c>
      <c r="Q34" s="31">
        <f t="shared" si="13"/>
        <v>2.7171016657486002</v>
      </c>
    </row>
    <row r="35" spans="1:17" x14ac:dyDescent="0.35">
      <c r="A35" s="31">
        <v>5</v>
      </c>
      <c r="B35" s="32">
        <v>43594</v>
      </c>
      <c r="C35" s="33">
        <v>0.4375</v>
      </c>
      <c r="D35" s="34">
        <f>D34+25</f>
        <v>216.66666666666669</v>
      </c>
      <c r="E35" s="31">
        <v>9.09</v>
      </c>
      <c r="F35" s="31">
        <v>3.431</v>
      </c>
      <c r="G35" s="31">
        <v>8.5000000000000006E-2</v>
      </c>
      <c r="H35" s="31">
        <v>0.51900000000000002</v>
      </c>
      <c r="I35" s="31">
        <v>5.0339999999999998</v>
      </c>
      <c r="J35" s="31">
        <f>((F35+G35)/F35)*(I35/H35)</f>
        <v>9.939716592846926</v>
      </c>
      <c r="K35" s="31">
        <v>0.312</v>
      </c>
      <c r="L35" s="35">
        <v>10.037000000000001</v>
      </c>
      <c r="M35" s="35">
        <f t="shared" si="11"/>
        <v>32.169871794871796</v>
      </c>
      <c r="N35" s="35">
        <v>4.3549800000000003</v>
      </c>
      <c r="O35" s="31">
        <f t="shared" si="12"/>
        <v>1.7810025495789554</v>
      </c>
      <c r="P35" s="35">
        <v>5.1177999999999999</v>
      </c>
      <c r="Q35" s="31">
        <f t="shared" si="13"/>
        <v>2.7403290591177574</v>
      </c>
    </row>
    <row r="39" spans="1:17" ht="18.5" x14ac:dyDescent="0.45">
      <c r="A39" s="1" t="s">
        <v>50</v>
      </c>
    </row>
    <row r="40" spans="1:17" x14ac:dyDescent="0.35">
      <c r="A40" s="2" t="s">
        <v>0</v>
      </c>
      <c r="C40" s="3">
        <v>0.40972222222222227</v>
      </c>
    </row>
    <row r="41" spans="1:17" x14ac:dyDescent="0.35">
      <c r="A41" s="2" t="s">
        <v>1</v>
      </c>
    </row>
    <row r="42" spans="1:17" x14ac:dyDescent="0.35">
      <c r="A42" s="2" t="s">
        <v>2</v>
      </c>
    </row>
    <row r="43" spans="1:17" x14ac:dyDescent="0.35">
      <c r="A43" s="2" t="s">
        <v>3</v>
      </c>
      <c r="C43">
        <f>9.111+1.03-9.14</f>
        <v>1.0009999999999994</v>
      </c>
    </row>
    <row r="44" spans="1:17" x14ac:dyDescent="0.35">
      <c r="A44" s="2" t="s">
        <v>4</v>
      </c>
      <c r="C44">
        <f>AVERAGE(G59:G61)/(180*60)</f>
        <v>5.3314814814814804E-4</v>
      </c>
    </row>
    <row r="45" spans="1:17" ht="15" thickBot="1" x14ac:dyDescent="0.4">
      <c r="A45" s="2" t="s">
        <v>5</v>
      </c>
      <c r="C45">
        <v>2140000</v>
      </c>
    </row>
    <row r="46" spans="1:17" x14ac:dyDescent="0.35">
      <c r="A46" s="4" t="s">
        <v>6</v>
      </c>
      <c r="B46" s="5"/>
      <c r="C46" s="6">
        <f>AVERAGE(V61:V64)</f>
        <v>-17.055611964407198</v>
      </c>
    </row>
    <row r="47" spans="1:17" ht="15" thickBot="1" x14ac:dyDescent="0.4">
      <c r="A47" s="7" t="s">
        <v>7</v>
      </c>
      <c r="B47" s="8"/>
      <c r="C47" s="9">
        <f>AVERAGE(X61:X64)</f>
        <v>-17.008795332515632</v>
      </c>
    </row>
    <row r="48" spans="1:17" x14ac:dyDescent="0.35">
      <c r="A48" s="2"/>
    </row>
    <row r="49" spans="1:25" ht="15" thickBot="1" x14ac:dyDescent="0.4"/>
    <row r="50" spans="1:25" x14ac:dyDescent="0.35">
      <c r="A50" s="11" t="s">
        <v>8</v>
      </c>
      <c r="B50" s="12"/>
      <c r="C50" s="12"/>
      <c r="D50" s="12"/>
      <c r="E50" s="13" t="s">
        <v>9</v>
      </c>
      <c r="F50" s="13"/>
      <c r="G50" s="13"/>
      <c r="H50" s="14"/>
      <c r="I50" s="14"/>
      <c r="J50" s="14"/>
      <c r="K50" s="15" t="s">
        <v>10</v>
      </c>
      <c r="L50" s="15"/>
      <c r="M50" s="15"/>
      <c r="N50" s="16" t="s">
        <v>10</v>
      </c>
      <c r="O50" s="16"/>
      <c r="P50" s="16"/>
      <c r="Q50" s="17" t="s">
        <v>11</v>
      </c>
      <c r="R50" s="18"/>
      <c r="S50" s="18"/>
      <c r="T50" s="18"/>
      <c r="U50" s="19" t="s">
        <v>12</v>
      </c>
      <c r="V50" s="20"/>
      <c r="W50" s="20"/>
      <c r="X50" s="20"/>
      <c r="Y50" s="21"/>
    </row>
    <row r="51" spans="1:25" ht="15" thickBot="1" x14ac:dyDescent="0.4">
      <c r="A51" s="22" t="s">
        <v>13</v>
      </c>
      <c r="B51" s="23" t="s">
        <v>14</v>
      </c>
      <c r="C51" s="23" t="s">
        <v>15</v>
      </c>
      <c r="D51" s="23" t="s">
        <v>16</v>
      </c>
      <c r="E51" s="24" t="s">
        <v>17</v>
      </c>
      <c r="F51" s="24" t="s">
        <v>18</v>
      </c>
      <c r="G51" s="24" t="s">
        <v>19</v>
      </c>
      <c r="H51" s="24" t="s">
        <v>20</v>
      </c>
      <c r="I51" s="24" t="s">
        <v>21</v>
      </c>
      <c r="J51" s="24" t="s">
        <v>22</v>
      </c>
      <c r="K51" s="25" t="s">
        <v>21</v>
      </c>
      <c r="L51" s="25" t="s">
        <v>23</v>
      </c>
      <c r="M51" s="25" t="s">
        <v>24</v>
      </c>
      <c r="N51" s="26" t="s">
        <v>25</v>
      </c>
      <c r="O51" s="26" t="s">
        <v>26</v>
      </c>
      <c r="P51" s="26" t="s">
        <v>27</v>
      </c>
      <c r="Q51" s="27" t="s">
        <v>28</v>
      </c>
      <c r="R51" s="27" t="s">
        <v>29</v>
      </c>
      <c r="S51" s="27" t="s">
        <v>30</v>
      </c>
      <c r="T51" s="27" t="s">
        <v>31</v>
      </c>
      <c r="U51" s="29" t="s">
        <v>32</v>
      </c>
      <c r="V51" s="29" t="s">
        <v>33</v>
      </c>
      <c r="W51" s="29" t="s">
        <v>34</v>
      </c>
      <c r="X51" s="29" t="s">
        <v>35</v>
      </c>
      <c r="Y51" s="30" t="s">
        <v>36</v>
      </c>
    </row>
    <row r="52" spans="1:25" x14ac:dyDescent="0.35">
      <c r="A52" s="35">
        <v>1</v>
      </c>
      <c r="B52" s="38">
        <v>43585</v>
      </c>
      <c r="C52" s="33">
        <v>0.4375</v>
      </c>
      <c r="D52" s="37">
        <f>40/60</f>
        <v>0.66666666666666663</v>
      </c>
      <c r="E52" s="35">
        <v>6.7060000000000004</v>
      </c>
      <c r="F52" s="35">
        <v>16.106000000000002</v>
      </c>
      <c r="G52" s="31">
        <f t="shared" ref="G52:G64" si="14">F52-E52</f>
        <v>9.4000000000000021</v>
      </c>
      <c r="H52" s="35">
        <v>7.62</v>
      </c>
      <c r="I52" s="35">
        <v>4.0529999999999999</v>
      </c>
      <c r="J52" s="35">
        <v>5.5E-2</v>
      </c>
      <c r="K52" s="35">
        <v>0.505</v>
      </c>
      <c r="L52" s="35">
        <v>4.9669999999999996</v>
      </c>
      <c r="M52" s="31">
        <f t="shared" ref="M52:M64" si="15">((I52+J52)/I52)*(L52/K52)</f>
        <v>9.9691151646622806</v>
      </c>
      <c r="N52" s="35">
        <v>0.29899999999999999</v>
      </c>
      <c r="O52" s="35">
        <v>9.9949999999999992</v>
      </c>
      <c r="P52" s="31">
        <f t="shared" ref="P52:P64" si="16">O52/N52</f>
        <v>33.42809364548495</v>
      </c>
      <c r="Q52" s="31">
        <v>3.8575900000000001</v>
      </c>
      <c r="R52" s="31">
        <f t="shared" ref="R52:R64" si="17">Q52/24.305*M52</f>
        <v>1.5822571062764685</v>
      </c>
      <c r="S52">
        <v>4.5804999999999998</v>
      </c>
      <c r="T52" s="31">
        <f>S52/60.08*P52</f>
        <v>2.5485583046462019</v>
      </c>
      <c r="U52" s="31">
        <f>((($O$31-R52)*10^(-6))*$C$44)/($C$45*$C$43*4)</f>
        <v>5.7726721726009202E-18</v>
      </c>
      <c r="V52" s="31">
        <f t="shared" ref="V52:V64" si="18">LOG(U52)</f>
        <v>-17.238623105185074</v>
      </c>
      <c r="W52" s="31">
        <f>((($Q$31-T52)*10^(-6))*$C$44)/($C$45*$C$43*6)</f>
        <v>3.8462910308464357E-18</v>
      </c>
      <c r="X52" s="31">
        <f t="shared" ref="X52:X64" si="19">LOG(W52)</f>
        <v>-17.41495785782277</v>
      </c>
      <c r="Y52" s="31">
        <f t="shared" ref="Y52:Y64" si="20">($Q$31-T52)/($O$31-R52)</f>
        <v>0.99943949245089247</v>
      </c>
    </row>
    <row r="53" spans="1:25" x14ac:dyDescent="0.35">
      <c r="A53" s="35">
        <v>2</v>
      </c>
      <c r="B53" s="32">
        <v>43585</v>
      </c>
      <c r="C53" s="33">
        <v>0.72916666666666663</v>
      </c>
      <c r="D53" s="37">
        <f>D52+7</f>
        <v>7.666666666666667</v>
      </c>
      <c r="E53" s="35">
        <v>6.649</v>
      </c>
      <c r="F53" s="35">
        <v>12.744</v>
      </c>
      <c r="G53" s="31">
        <f t="shared" si="14"/>
        <v>6.0949999999999998</v>
      </c>
      <c r="H53" s="35">
        <v>7.57</v>
      </c>
      <c r="I53" s="35">
        <v>2.7349999999999999</v>
      </c>
      <c r="J53" s="35">
        <v>5.0999999999999997E-2</v>
      </c>
      <c r="K53" s="35">
        <v>0.50700000000000001</v>
      </c>
      <c r="L53" s="35">
        <v>4.9930000000000003</v>
      </c>
      <c r="M53" s="31">
        <f t="shared" si="15"/>
        <v>10.031765880957277</v>
      </c>
      <c r="N53" s="35">
        <v>0.29899999999999999</v>
      </c>
      <c r="O53" s="35">
        <v>9.9700000000000006</v>
      </c>
      <c r="P53" s="31">
        <f t="shared" si="16"/>
        <v>33.344481605351177</v>
      </c>
      <c r="Q53" s="35">
        <v>3.7275499999999999</v>
      </c>
      <c r="R53" s="31">
        <f t="shared" si="17"/>
        <v>1.5385274186201316</v>
      </c>
      <c r="S53">
        <v>4.4451000000000001</v>
      </c>
      <c r="T53" s="31">
        <f t="shared" ref="T53:T64" si="21">S53/60.08*P53</f>
        <v>2.467036537682199</v>
      </c>
      <c r="U53" s="31">
        <f t="shared" ref="U53:U64" si="22">((($O$31-R53)*10^(-6))*$C$44)/($C$45*$C$43*4)</f>
        <v>8.4935963410811497E-18</v>
      </c>
      <c r="V53" s="31">
        <f t="shared" si="18"/>
        <v>-17.07090838273864</v>
      </c>
      <c r="W53" s="31">
        <f t="shared" ref="W53:W64" si="23">((($Q$31-T53)*10^(-6))*$C$44)/($C$45*$C$43*6)</f>
        <v>7.2278922248722743E-18</v>
      </c>
      <c r="X53" s="31">
        <f t="shared" si="19"/>
        <v>-17.140988331829455</v>
      </c>
      <c r="Y53" s="31">
        <f t="shared" si="20"/>
        <v>1.2764720504634148</v>
      </c>
    </row>
    <row r="54" spans="1:25" x14ac:dyDescent="0.35">
      <c r="A54" s="31">
        <v>3</v>
      </c>
      <c r="B54" s="38">
        <v>43586</v>
      </c>
      <c r="C54" s="36">
        <v>0.38541666666666669</v>
      </c>
      <c r="D54" s="37">
        <f>24-35/60</f>
        <v>23.416666666666668</v>
      </c>
      <c r="E54" s="35">
        <v>6.6379999999999999</v>
      </c>
      <c r="F54" s="35">
        <v>12.551</v>
      </c>
      <c r="G54" s="31">
        <f t="shared" si="14"/>
        <v>5.9130000000000003</v>
      </c>
      <c r="H54" s="35">
        <v>7.59</v>
      </c>
      <c r="I54" s="35">
        <v>3.4740000000000002</v>
      </c>
      <c r="J54" s="35">
        <v>4.5999999999999999E-2</v>
      </c>
      <c r="K54" s="35">
        <v>0.501</v>
      </c>
      <c r="L54" s="35">
        <v>4.9980000000000002</v>
      </c>
      <c r="M54" s="31">
        <f t="shared" si="15"/>
        <v>10.108142954160764</v>
      </c>
      <c r="N54" s="35">
        <v>0.30199999999999999</v>
      </c>
      <c r="O54" s="35">
        <v>9.9949999999999992</v>
      </c>
      <c r="P54" s="31">
        <f t="shared" si="16"/>
        <v>33.096026490066222</v>
      </c>
      <c r="Q54" s="35">
        <v>3.6155599999999999</v>
      </c>
      <c r="R54" s="31">
        <f t="shared" si="17"/>
        <v>1.5036658028942806</v>
      </c>
      <c r="S54" s="35">
        <v>4.2789999999999999</v>
      </c>
      <c r="T54" s="31">
        <f t="shared" si="21"/>
        <v>2.3571554152961611</v>
      </c>
      <c r="U54" s="31">
        <f t="shared" si="22"/>
        <v>1.0662736297583739E-17</v>
      </c>
      <c r="V54" s="31">
        <f t="shared" si="18"/>
        <v>-16.972131331289876</v>
      </c>
      <c r="W54" s="31">
        <f t="shared" si="23"/>
        <v>1.1785866720513403E-17</v>
      </c>
      <c r="X54" s="31">
        <f t="shared" si="19"/>
        <v>-16.928638474395871</v>
      </c>
      <c r="Y54" s="31">
        <f t="shared" si="20"/>
        <v>1.6579984337394018</v>
      </c>
    </row>
    <row r="55" spans="1:25" x14ac:dyDescent="0.35">
      <c r="A55" s="35">
        <v>4</v>
      </c>
      <c r="B55" s="32">
        <v>43586</v>
      </c>
      <c r="C55" s="36">
        <v>0.61458333333333337</v>
      </c>
      <c r="D55" s="37">
        <f>D54+5</f>
        <v>28.416666666666668</v>
      </c>
      <c r="E55" s="35">
        <v>6.6870000000000003</v>
      </c>
      <c r="F55" s="35">
        <v>12.635</v>
      </c>
      <c r="G55" s="31">
        <f t="shared" si="14"/>
        <v>5.9479999999999995</v>
      </c>
      <c r="H55" s="35">
        <v>7.5</v>
      </c>
      <c r="I55" s="35">
        <v>2.5070000000000001</v>
      </c>
      <c r="J55" s="35">
        <v>4.8000000000000001E-2</v>
      </c>
      <c r="K55" s="35">
        <v>0.50700000000000001</v>
      </c>
      <c r="L55" s="35">
        <v>4.992</v>
      </c>
      <c r="M55" s="31">
        <f t="shared" si="15"/>
        <v>10.034672148752724</v>
      </c>
      <c r="N55" s="35">
        <v>0.30099999999999999</v>
      </c>
      <c r="O55" s="35">
        <v>10.015000000000001</v>
      </c>
      <c r="P55" s="31">
        <f t="shared" si="16"/>
        <v>33.272425249169437</v>
      </c>
      <c r="Q55" s="35">
        <v>3.6369799999999999</v>
      </c>
      <c r="R55" s="31">
        <f t="shared" si="17"/>
        <v>1.5015800004760618</v>
      </c>
      <c r="S55" s="35">
        <v>4.34</v>
      </c>
      <c r="T55" s="31">
        <f t="shared" si="21"/>
        <v>2.4035007586783514</v>
      </c>
      <c r="U55" s="31">
        <f t="shared" si="22"/>
        <v>1.0792517929115331E-17</v>
      </c>
      <c r="V55" s="31">
        <f t="shared" si="18"/>
        <v>-16.966877221197581</v>
      </c>
      <c r="W55" s="31">
        <f t="shared" si="23"/>
        <v>9.8634173630558447E-18</v>
      </c>
      <c r="X55" s="31">
        <f t="shared" si="19"/>
        <v>-17.005972589644596</v>
      </c>
      <c r="Y55" s="31">
        <f t="shared" si="20"/>
        <v>1.3708687946369282</v>
      </c>
    </row>
    <row r="56" spans="1:25" x14ac:dyDescent="0.35">
      <c r="A56" s="35">
        <v>5</v>
      </c>
      <c r="B56" s="32">
        <v>43587</v>
      </c>
      <c r="C56" s="36">
        <v>0.65625</v>
      </c>
      <c r="D56" s="37">
        <f>D55+25</f>
        <v>53.416666666666671</v>
      </c>
      <c r="E56" s="35">
        <v>6.6479999999999997</v>
      </c>
      <c r="F56" s="35">
        <v>12.097</v>
      </c>
      <c r="G56" s="31">
        <f t="shared" si="14"/>
        <v>5.4489999999999998</v>
      </c>
      <c r="H56" s="35">
        <v>7.48</v>
      </c>
      <c r="I56" s="35">
        <v>2.2000000000000002</v>
      </c>
      <c r="J56" s="35">
        <v>6.3E-2</v>
      </c>
      <c r="K56" s="35">
        <v>0.50700000000000001</v>
      </c>
      <c r="L56" s="35">
        <v>4.9930000000000003</v>
      </c>
      <c r="M56" s="31">
        <f t="shared" si="15"/>
        <v>10.130140756679221</v>
      </c>
      <c r="N56" s="35">
        <v>0.30199999999999999</v>
      </c>
      <c r="O56" s="35">
        <v>9.9979999999999993</v>
      </c>
      <c r="P56" s="31">
        <f t="shared" si="16"/>
        <v>33.105960264900659</v>
      </c>
      <c r="Q56" s="35">
        <v>3.58656</v>
      </c>
      <c r="R56" s="31">
        <f t="shared" si="17"/>
        <v>1.4948511677545948</v>
      </c>
      <c r="S56" s="35">
        <v>4.3105000000000002</v>
      </c>
      <c r="T56" s="31">
        <f t="shared" si="21"/>
        <v>2.3752204014955778</v>
      </c>
      <c r="U56" s="31">
        <f t="shared" si="22"/>
        <v>1.1211195595450018E-17</v>
      </c>
      <c r="V56" s="31">
        <f t="shared" si="18"/>
        <v>-16.950348070472032</v>
      </c>
      <c r="W56" s="31">
        <f t="shared" si="23"/>
        <v>1.1036513741830027E-17</v>
      </c>
      <c r="X56" s="31">
        <f t="shared" si="19"/>
        <v>-16.95716809162445</v>
      </c>
      <c r="Y56" s="31">
        <f t="shared" si="20"/>
        <v>1.4766284712277853</v>
      </c>
    </row>
    <row r="57" spans="1:25" x14ac:dyDescent="0.35">
      <c r="A57" s="31">
        <v>6</v>
      </c>
      <c r="B57" s="32">
        <v>43588</v>
      </c>
      <c r="C57" s="36">
        <v>0.40277777777777773</v>
      </c>
      <c r="D57" s="37">
        <f>D54+2*24+25/60</f>
        <v>71.833333333333343</v>
      </c>
      <c r="E57" s="35">
        <v>6.6820000000000004</v>
      </c>
      <c r="F57" s="35">
        <v>12.457000000000001</v>
      </c>
      <c r="G57" s="31">
        <f t="shared" si="14"/>
        <v>5.7750000000000004</v>
      </c>
      <c r="H57" s="35">
        <v>7.46</v>
      </c>
      <c r="I57" s="35">
        <v>2.698</v>
      </c>
      <c r="J57" s="35">
        <v>0.06</v>
      </c>
      <c r="K57" s="35">
        <v>0.50700000000000001</v>
      </c>
      <c r="L57" s="35">
        <v>4.992</v>
      </c>
      <c r="M57" s="31">
        <f t="shared" si="15"/>
        <v>10.06511946170953</v>
      </c>
      <c r="N57" s="35">
        <v>0.29199999999999998</v>
      </c>
      <c r="O57" s="35">
        <v>10.003</v>
      </c>
      <c r="P57" s="31">
        <f t="shared" si="16"/>
        <v>34.256849315068493</v>
      </c>
      <c r="Q57" s="35">
        <v>3.5559400000000001</v>
      </c>
      <c r="R57" s="31">
        <f t="shared" si="17"/>
        <v>1.4725760501407688</v>
      </c>
      <c r="S57" s="35">
        <v>4.1977000000000002</v>
      </c>
      <c r="T57" s="31">
        <f t="shared" si="21"/>
        <v>2.3934749728672275</v>
      </c>
      <c r="U57" s="31">
        <f t="shared" si="22"/>
        <v>1.2597185505725908E-17</v>
      </c>
      <c r="V57" s="31">
        <f t="shared" si="18"/>
        <v>-16.899726475189517</v>
      </c>
      <c r="W57" s="31">
        <f t="shared" si="23"/>
        <v>1.027929658810888E-17</v>
      </c>
      <c r="X57" s="31">
        <f t="shared" si="19"/>
        <v>-16.988036603079539</v>
      </c>
      <c r="Y57" s="31">
        <f t="shared" si="20"/>
        <v>1.223999192133419</v>
      </c>
    </row>
    <row r="58" spans="1:25" x14ac:dyDescent="0.35">
      <c r="A58" s="35">
        <v>7</v>
      </c>
      <c r="B58" s="32">
        <v>43589</v>
      </c>
      <c r="C58" s="36">
        <v>0.39583333333333331</v>
      </c>
      <c r="D58" s="37">
        <f>D57+24-10/60</f>
        <v>95.666666666666671</v>
      </c>
      <c r="E58" s="35">
        <v>6.65</v>
      </c>
      <c r="F58" s="35">
        <v>12.432</v>
      </c>
      <c r="G58" s="31">
        <f t="shared" si="14"/>
        <v>5.782</v>
      </c>
      <c r="H58" s="35">
        <v>7.54</v>
      </c>
      <c r="I58" s="35">
        <v>2.3180000000000001</v>
      </c>
      <c r="J58" s="35">
        <v>4.9000000000000002E-2</v>
      </c>
      <c r="K58" s="35">
        <v>0.51</v>
      </c>
      <c r="L58" s="35">
        <v>4.9820000000000002</v>
      </c>
      <c r="M58" s="31">
        <f t="shared" si="15"/>
        <v>9.9751256153885208</v>
      </c>
      <c r="N58" s="35">
        <v>0.30499999999999999</v>
      </c>
      <c r="O58" s="35">
        <v>10.018000000000001</v>
      </c>
      <c r="P58" s="31">
        <f t="shared" si="16"/>
        <v>32.845901639344262</v>
      </c>
      <c r="Q58" s="35">
        <v>3.6469100000000001</v>
      </c>
      <c r="R58" s="31">
        <f t="shared" si="17"/>
        <v>1.496744923185211</v>
      </c>
      <c r="S58" s="35">
        <v>4.2443999999999997</v>
      </c>
      <c r="T58" s="31">
        <f t="shared" si="21"/>
        <v>2.3204251817249131</v>
      </c>
      <c r="U58" s="31">
        <f t="shared" si="22"/>
        <v>1.1093363404174177E-17</v>
      </c>
      <c r="V58" s="31">
        <f t="shared" si="18"/>
        <v>-16.954936759854952</v>
      </c>
      <c r="W58" s="31">
        <f t="shared" si="23"/>
        <v>1.3309472087853215E-17</v>
      </c>
      <c r="X58" s="31">
        <f t="shared" si="19"/>
        <v>-16.875839170211211</v>
      </c>
      <c r="Y58" s="31">
        <f t="shared" si="20"/>
        <v>1.7996533066128308</v>
      </c>
    </row>
    <row r="59" spans="1:25" x14ac:dyDescent="0.35">
      <c r="A59" s="35">
        <v>8</v>
      </c>
      <c r="B59" s="32">
        <v>43591</v>
      </c>
      <c r="C59" s="36">
        <v>0.56944444444444442</v>
      </c>
      <c r="D59" s="37">
        <f>D58+2*24+4+1/6</f>
        <v>147.83333333333334</v>
      </c>
      <c r="E59" s="35">
        <v>6.657</v>
      </c>
      <c r="F59" s="35">
        <v>12.29</v>
      </c>
      <c r="G59" s="31">
        <f t="shared" si="14"/>
        <v>5.6329999999999991</v>
      </c>
      <c r="H59" s="35">
        <v>7.47</v>
      </c>
      <c r="I59" s="35">
        <v>2.2749999999999999</v>
      </c>
      <c r="J59" s="35">
        <v>6.4000000000000001E-2</v>
      </c>
      <c r="K59" s="35">
        <v>0.51200000000000001</v>
      </c>
      <c r="L59" s="35">
        <v>4.9889999999999999</v>
      </c>
      <c r="M59" s="31">
        <f t="shared" si="15"/>
        <v>10.018261504120879</v>
      </c>
      <c r="N59" s="35">
        <v>0.30099999999999999</v>
      </c>
      <c r="O59" s="35">
        <v>10.023999999999999</v>
      </c>
      <c r="P59" s="31">
        <f t="shared" si="16"/>
        <v>33.302325581395344</v>
      </c>
      <c r="Q59" s="35">
        <v>3.73637</v>
      </c>
      <c r="R59" s="31">
        <f t="shared" si="17"/>
        <v>1.5400918221004785</v>
      </c>
      <c r="S59" s="35">
        <v>4.3277000000000001</v>
      </c>
      <c r="T59" s="31">
        <f t="shared" si="21"/>
        <v>2.3988427832657231</v>
      </c>
      <c r="U59" s="31">
        <f t="shared" si="22"/>
        <v>8.3962569026570233E-18</v>
      </c>
      <c r="V59" s="31">
        <f t="shared" si="18"/>
        <v>-17.075914281654736</v>
      </c>
      <c r="W59" s="31">
        <f t="shared" si="23"/>
        <v>1.0056634657082877E-17</v>
      </c>
      <c r="X59" s="31">
        <f t="shared" si="19"/>
        <v>-16.997547326872258</v>
      </c>
      <c r="Y59" s="31">
        <f t="shared" si="20"/>
        <v>1.7966282071300883</v>
      </c>
    </row>
    <row r="60" spans="1:25" x14ac:dyDescent="0.35">
      <c r="A60" s="31">
        <v>9</v>
      </c>
      <c r="B60" s="32">
        <v>43592</v>
      </c>
      <c r="C60" s="36">
        <v>0.40972222222222227</v>
      </c>
      <c r="D60" s="37">
        <f>D58+3*24+2/6</f>
        <v>168.00000000000003</v>
      </c>
      <c r="E60" s="35">
        <v>6.758</v>
      </c>
      <c r="F60" s="35">
        <v>12.484</v>
      </c>
      <c r="G60" s="31">
        <f t="shared" si="14"/>
        <v>5.726</v>
      </c>
      <c r="H60" s="35">
        <v>7.45</v>
      </c>
      <c r="I60" s="35">
        <v>2.3610000000000002</v>
      </c>
      <c r="J60" s="35">
        <v>5.1999999999999998E-2</v>
      </c>
      <c r="K60" s="35">
        <v>0.50800000000000001</v>
      </c>
      <c r="L60" s="35">
        <v>5.0069999999999997</v>
      </c>
      <c r="M60" s="31">
        <f t="shared" si="15"/>
        <v>10.073379923761117</v>
      </c>
      <c r="N60" s="35">
        <v>0.30499999999999999</v>
      </c>
      <c r="O60" s="35">
        <v>10.02</v>
      </c>
      <c r="P60" s="31">
        <f t="shared" si="16"/>
        <v>32.852459016393439</v>
      </c>
      <c r="Q60" s="35">
        <v>3.67353</v>
      </c>
      <c r="R60" s="31">
        <f t="shared" si="17"/>
        <v>1.5225206069259072</v>
      </c>
      <c r="S60" s="35">
        <v>4.3388</v>
      </c>
      <c r="T60" s="31">
        <f t="shared" si="21"/>
        <v>2.3725074763703042</v>
      </c>
      <c r="U60" s="31">
        <f t="shared" si="22"/>
        <v>9.4895632261274009E-18</v>
      </c>
      <c r="V60" s="31">
        <f t="shared" si="18"/>
        <v>-17.022753776281665</v>
      </c>
      <c r="W60" s="31">
        <f t="shared" si="23"/>
        <v>1.1149048481747755E-17</v>
      </c>
      <c r="X60" s="31">
        <f t="shared" si="19"/>
        <v>-16.952762196002357</v>
      </c>
      <c r="Y60" s="31">
        <f t="shared" si="20"/>
        <v>1.76231216591476</v>
      </c>
    </row>
    <row r="61" spans="1:25" x14ac:dyDescent="0.35">
      <c r="A61" s="35">
        <v>10</v>
      </c>
      <c r="B61" s="32">
        <v>43592</v>
      </c>
      <c r="C61" s="36">
        <v>0.75</v>
      </c>
      <c r="D61" s="37">
        <f>D60+8+10/60</f>
        <v>176.16666666666669</v>
      </c>
      <c r="E61" s="35">
        <v>6.6870000000000003</v>
      </c>
      <c r="F61" s="35">
        <v>12.602</v>
      </c>
      <c r="G61" s="31">
        <f t="shared" si="14"/>
        <v>5.915</v>
      </c>
      <c r="H61" s="35">
        <v>7.46</v>
      </c>
      <c r="I61" s="35">
        <v>2.6589999999999998</v>
      </c>
      <c r="J61" s="35">
        <v>5.8000000000000003E-2</v>
      </c>
      <c r="K61" s="35">
        <v>0.51100000000000001</v>
      </c>
      <c r="L61" s="35">
        <v>5.0019999999999998</v>
      </c>
      <c r="M61" s="31">
        <f t="shared" si="15"/>
        <v>10.002166698926732</v>
      </c>
      <c r="N61" s="35">
        <v>0.30399999999999999</v>
      </c>
      <c r="O61" s="35">
        <v>10.057</v>
      </c>
      <c r="P61" s="31">
        <f t="shared" si="16"/>
        <v>33.082236842105267</v>
      </c>
      <c r="Q61" s="35">
        <v>3.73169</v>
      </c>
      <c r="R61" s="31">
        <f t="shared" si="17"/>
        <v>1.5356916456991523</v>
      </c>
      <c r="S61" s="35">
        <v>4.3385999999999996</v>
      </c>
      <c r="T61" s="31">
        <f t="shared" si="21"/>
        <v>2.3889912244200717</v>
      </c>
      <c r="U61" s="31">
        <f t="shared" si="22"/>
        <v>8.6700422177965846E-18</v>
      </c>
      <c r="V61" s="31">
        <f t="shared" si="18"/>
        <v>-17.06197878777045</v>
      </c>
      <c r="W61" s="31">
        <f t="shared" si="23"/>
        <v>1.046528678026589E-17</v>
      </c>
      <c r="X61" s="31">
        <f t="shared" si="19"/>
        <v>-16.980248866190035</v>
      </c>
      <c r="Y61" s="31">
        <f t="shared" si="20"/>
        <v>1.8105944326518317</v>
      </c>
    </row>
    <row r="62" spans="1:25" x14ac:dyDescent="0.35">
      <c r="A62" s="35">
        <v>11</v>
      </c>
      <c r="B62" s="32">
        <v>43593</v>
      </c>
      <c r="C62" s="36">
        <v>0.38541666666666669</v>
      </c>
      <c r="D62" s="37">
        <f>D60+24-45/60</f>
        <v>191.25000000000003</v>
      </c>
      <c r="E62" s="35">
        <v>6.6849999999999996</v>
      </c>
      <c r="F62" s="35">
        <v>11.69</v>
      </c>
      <c r="G62" s="31">
        <f t="shared" si="14"/>
        <v>5.0049999999999999</v>
      </c>
      <c r="H62" s="35">
        <v>7.61</v>
      </c>
      <c r="I62" s="35">
        <v>2.0659999999999998</v>
      </c>
      <c r="J62" s="35">
        <v>4.4999999999999998E-2</v>
      </c>
      <c r="K62" s="35">
        <v>0.51300000000000001</v>
      </c>
      <c r="L62" s="35">
        <v>5.0030000000000001</v>
      </c>
      <c r="M62" s="31">
        <f t="shared" si="15"/>
        <v>9.9648566128670062</v>
      </c>
      <c r="N62" s="35">
        <v>0.308</v>
      </c>
      <c r="O62" s="35">
        <v>10.08</v>
      </c>
      <c r="P62" s="31">
        <f t="shared" si="16"/>
        <v>32.727272727272727</v>
      </c>
      <c r="Q62" s="35">
        <v>3.74844</v>
      </c>
      <c r="R62" s="31">
        <f t="shared" si="17"/>
        <v>1.5368305748584736</v>
      </c>
      <c r="S62" s="35">
        <v>4.4494999999999996</v>
      </c>
      <c r="T62" s="31">
        <f t="shared" si="21"/>
        <v>2.4237683089214377</v>
      </c>
      <c r="U62" s="31">
        <f t="shared" si="22"/>
        <v>8.5991764046186303E-18</v>
      </c>
      <c r="V62" s="31">
        <f t="shared" si="18"/>
        <v>-17.065543141786389</v>
      </c>
      <c r="W62" s="31">
        <f t="shared" si="23"/>
        <v>9.0226999123133639E-18</v>
      </c>
      <c r="X62" s="31">
        <f t="shared" si="19"/>
        <v>-17.044663486674636</v>
      </c>
      <c r="Y62" s="31">
        <f t="shared" si="20"/>
        <v>1.573877454264212</v>
      </c>
    </row>
    <row r="63" spans="1:25" x14ac:dyDescent="0.35">
      <c r="A63" s="31">
        <v>12</v>
      </c>
      <c r="B63" s="32">
        <v>43593</v>
      </c>
      <c r="C63" s="36">
        <v>0.75</v>
      </c>
      <c r="D63" s="37">
        <f>D61+24</f>
        <v>200.16666666666669</v>
      </c>
      <c r="E63" s="35">
        <v>6.6890000000000001</v>
      </c>
      <c r="F63" s="35">
        <v>12.238</v>
      </c>
      <c r="G63" s="31">
        <f t="shared" si="14"/>
        <v>5.5489999999999995</v>
      </c>
      <c r="H63" s="35">
        <v>7.5</v>
      </c>
      <c r="I63" s="35">
        <v>2.2309999999999999</v>
      </c>
      <c r="J63" s="35">
        <v>6.3E-2</v>
      </c>
      <c r="K63" s="35">
        <v>0.51400000000000001</v>
      </c>
      <c r="L63" s="35">
        <v>5.0510000000000002</v>
      </c>
      <c r="M63" s="31">
        <f t="shared" si="15"/>
        <v>10.104343291469513</v>
      </c>
      <c r="N63" s="35">
        <v>0.30199999999999999</v>
      </c>
      <c r="O63" s="35">
        <v>10.029999999999999</v>
      </c>
      <c r="P63" s="31">
        <f t="shared" si="16"/>
        <v>33.211920529801326</v>
      </c>
      <c r="Q63" s="35">
        <v>3.68194</v>
      </c>
      <c r="R63" s="31">
        <f t="shared" si="17"/>
        <v>1.5306968006004222</v>
      </c>
      <c r="S63" s="35">
        <v>4.3121999999999998</v>
      </c>
      <c r="T63" s="31">
        <f t="shared" si="21"/>
        <v>2.3837623786386364</v>
      </c>
      <c r="U63" s="31">
        <f t="shared" si="22"/>
        <v>8.9808286760433351E-18</v>
      </c>
      <c r="V63" s="31">
        <f t="shared" si="18"/>
        <v>-17.046683588407461</v>
      </c>
      <c r="W63" s="31">
        <f t="shared" si="23"/>
        <v>1.0682184325502936E-17</v>
      </c>
      <c r="X63" s="31">
        <f t="shared" si="19"/>
        <v>-16.971339932371549</v>
      </c>
      <c r="Y63" s="31">
        <f t="shared" si="20"/>
        <v>1.7841645872832466</v>
      </c>
    </row>
    <row r="64" spans="1:25" x14ac:dyDescent="0.35">
      <c r="A64" s="35">
        <v>13</v>
      </c>
      <c r="B64" s="32">
        <v>43594</v>
      </c>
      <c r="C64" s="36">
        <v>0.32291666666666669</v>
      </c>
      <c r="D64" s="37">
        <f>D62+24-1.5</f>
        <v>213.75000000000003</v>
      </c>
      <c r="E64" s="35">
        <v>6.6470000000000002</v>
      </c>
      <c r="F64" s="35">
        <v>12.127000000000001</v>
      </c>
      <c r="G64" s="31">
        <f t="shared" si="14"/>
        <v>5.48</v>
      </c>
      <c r="H64" s="35">
        <v>7.58</v>
      </c>
      <c r="I64" s="35">
        <v>2.145</v>
      </c>
      <c r="J64" s="35">
        <v>7.1999999999999995E-2</v>
      </c>
      <c r="K64" s="35">
        <v>0.51600000000000001</v>
      </c>
      <c r="L64" s="35">
        <v>5.0069999999999997</v>
      </c>
      <c r="M64" s="31">
        <f t="shared" si="15"/>
        <v>10.029199869897544</v>
      </c>
      <c r="N64" s="35">
        <v>0.30199999999999999</v>
      </c>
      <c r="O64" s="35">
        <v>10.002000000000001</v>
      </c>
      <c r="P64" s="31">
        <f t="shared" si="16"/>
        <v>33.119205298013249</v>
      </c>
      <c r="Q64" s="35">
        <v>3.7107800000000002</v>
      </c>
      <c r="R64" s="31">
        <f t="shared" si="17"/>
        <v>1.5312139186676985</v>
      </c>
      <c r="S64" s="35">
        <v>4.3916000000000004</v>
      </c>
      <c r="T64" s="31">
        <f t="shared" si="21"/>
        <v>2.4208771968501166</v>
      </c>
      <c r="U64" s="31">
        <f t="shared" si="22"/>
        <v>8.948652844871901E-18</v>
      </c>
      <c r="V64" s="31">
        <f t="shared" si="18"/>
        <v>-17.048242339664494</v>
      </c>
      <c r="W64" s="31">
        <f t="shared" si="23"/>
        <v>9.1426260178988693E-18</v>
      </c>
      <c r="X64" s="31">
        <f t="shared" si="19"/>
        <v>-17.038929044826297</v>
      </c>
      <c r="Y64" s="31">
        <f t="shared" si="20"/>
        <v>1.5325143644059438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DC62C-C9DF-4723-BFFC-C8E9625958DF}">
  <dimension ref="A1:Y75"/>
  <sheetViews>
    <sheetView topLeftCell="A2" zoomScale="90" zoomScaleNormal="90" workbookViewId="0">
      <selection activeCell="E8" sqref="E8"/>
    </sheetView>
  </sheetViews>
  <sheetFormatPr defaultColWidth="10.81640625" defaultRowHeight="14.5" x14ac:dyDescent="0.35"/>
  <cols>
    <col min="1" max="1" width="14.453125" customWidth="1"/>
    <col min="3" max="3" width="11.81640625" bestFit="1" customWidth="1"/>
    <col min="4" max="4" width="11.6328125" customWidth="1"/>
    <col min="5" max="5" width="12.453125" bestFit="1" customWidth="1"/>
    <col min="6" max="6" width="26.36328125" bestFit="1" customWidth="1"/>
    <col min="7" max="7" width="15.36328125" bestFit="1" customWidth="1"/>
    <col min="8" max="8" width="15" bestFit="1" customWidth="1"/>
    <col min="9" max="9" width="15.36328125" bestFit="1" customWidth="1"/>
    <col min="10" max="12" width="15" bestFit="1" customWidth="1"/>
    <col min="13" max="13" width="13.1796875" bestFit="1" customWidth="1"/>
    <col min="16" max="16" width="12.36328125" bestFit="1" customWidth="1"/>
    <col min="17" max="17" width="12.36328125" customWidth="1"/>
    <col min="18" max="18" width="15" bestFit="1" customWidth="1"/>
    <col min="19" max="19" width="11.6328125" customWidth="1"/>
    <col min="20" max="20" width="15" bestFit="1" customWidth="1"/>
    <col min="21" max="21" width="18" bestFit="1" customWidth="1"/>
    <col min="22" max="22" width="21.1796875" bestFit="1" customWidth="1"/>
    <col min="23" max="23" width="16.81640625" bestFit="1" customWidth="1"/>
    <col min="24" max="24" width="20" bestFit="1" customWidth="1"/>
  </cols>
  <sheetData>
    <row r="1" spans="1:25" ht="18.5" x14ac:dyDescent="0.45">
      <c r="A1" s="1" t="s">
        <v>52</v>
      </c>
    </row>
    <row r="2" spans="1:25" x14ac:dyDescent="0.35">
      <c r="A2" s="2" t="s">
        <v>0</v>
      </c>
      <c r="C2" s="3"/>
    </row>
    <row r="3" spans="1:25" x14ac:dyDescent="0.35">
      <c r="A3" s="2" t="s">
        <v>1</v>
      </c>
    </row>
    <row r="4" spans="1:25" x14ac:dyDescent="0.35">
      <c r="A4" s="2" t="s">
        <v>2</v>
      </c>
      <c r="F4" s="10"/>
    </row>
    <row r="5" spans="1:25" x14ac:dyDescent="0.35">
      <c r="A5" s="2" t="s">
        <v>3</v>
      </c>
      <c r="C5">
        <f>9.157+1.011-9.22</f>
        <v>0.94799999999999862</v>
      </c>
      <c r="F5" s="10"/>
    </row>
    <row r="6" spans="1:25" x14ac:dyDescent="0.35">
      <c r="A6" s="2" t="s">
        <v>4</v>
      </c>
      <c r="C6">
        <f>AVERAGE(G19:G23)/(3*60*60)</f>
        <v>4.8651851851851856E-4</v>
      </c>
      <c r="F6" s="10"/>
    </row>
    <row r="7" spans="1:25" ht="15" thickBot="1" x14ac:dyDescent="0.4">
      <c r="A7" s="2" t="s">
        <v>5</v>
      </c>
      <c r="C7">
        <v>2140000</v>
      </c>
    </row>
    <row r="8" spans="1:25" x14ac:dyDescent="0.35">
      <c r="A8" s="4" t="s">
        <v>6</v>
      </c>
      <c r="B8" s="5"/>
      <c r="C8" s="6">
        <f>AVERAGE(V29:V31)</f>
        <v>-16.928139574730579</v>
      </c>
    </row>
    <row r="9" spans="1:25" ht="15" thickBot="1" x14ac:dyDescent="0.4">
      <c r="A9" s="7" t="s">
        <v>7</v>
      </c>
      <c r="B9" s="8"/>
      <c r="C9" s="9">
        <f>AVERAGE(X23:X25)</f>
        <v>-16.907060302276744</v>
      </c>
    </row>
    <row r="10" spans="1:25" x14ac:dyDescent="0.35">
      <c r="A10" s="10"/>
    </row>
    <row r="11" spans="1:25" x14ac:dyDescent="0.35">
      <c r="A11" s="2"/>
    </row>
    <row r="12" spans="1:25" ht="15" thickBot="1" x14ac:dyDescent="0.4"/>
    <row r="13" spans="1:25" x14ac:dyDescent="0.35">
      <c r="A13" s="11" t="s">
        <v>8</v>
      </c>
      <c r="B13" s="12"/>
      <c r="C13" s="12"/>
      <c r="D13" s="12"/>
      <c r="E13" s="13" t="s">
        <v>9</v>
      </c>
      <c r="F13" s="13"/>
      <c r="G13" s="13"/>
      <c r="H13" s="14"/>
      <c r="I13" s="14"/>
      <c r="J13" s="14"/>
      <c r="K13" s="15" t="s">
        <v>10</v>
      </c>
      <c r="L13" s="15"/>
      <c r="M13" s="15"/>
      <c r="N13" s="16" t="s">
        <v>10</v>
      </c>
      <c r="O13" s="16"/>
      <c r="P13" s="16"/>
      <c r="Q13" s="17" t="s">
        <v>11</v>
      </c>
      <c r="R13" s="18"/>
      <c r="S13" s="18"/>
      <c r="T13" s="18"/>
      <c r="U13" s="19" t="s">
        <v>12</v>
      </c>
      <c r="V13" s="20"/>
      <c r="W13" s="20"/>
      <c r="X13" s="20"/>
      <c r="Y13" s="21"/>
    </row>
    <row r="14" spans="1:25" ht="15" thickBot="1" x14ac:dyDescent="0.4">
      <c r="A14" s="22" t="s">
        <v>13</v>
      </c>
      <c r="B14" s="23" t="s">
        <v>14</v>
      </c>
      <c r="C14" s="23" t="s">
        <v>15</v>
      </c>
      <c r="D14" s="23" t="s">
        <v>51</v>
      </c>
      <c r="E14" s="24" t="s">
        <v>17</v>
      </c>
      <c r="F14" s="24" t="s">
        <v>18</v>
      </c>
      <c r="G14" s="24" t="s">
        <v>19</v>
      </c>
      <c r="H14" s="24" t="s">
        <v>20</v>
      </c>
      <c r="I14" s="24" t="s">
        <v>21</v>
      </c>
      <c r="J14" s="24" t="s">
        <v>22</v>
      </c>
      <c r="K14" s="25" t="s">
        <v>21</v>
      </c>
      <c r="L14" s="25" t="s">
        <v>23</v>
      </c>
      <c r="M14" s="25" t="s">
        <v>24</v>
      </c>
      <c r="N14" s="26" t="s">
        <v>25</v>
      </c>
      <c r="O14" s="26" t="s">
        <v>26</v>
      </c>
      <c r="P14" s="26" t="s">
        <v>27</v>
      </c>
      <c r="Q14" s="27" t="s">
        <v>28</v>
      </c>
      <c r="R14" s="27" t="s">
        <v>29</v>
      </c>
      <c r="S14" s="27" t="s">
        <v>30</v>
      </c>
      <c r="T14" s="27" t="s">
        <v>31</v>
      </c>
      <c r="U14" s="29" t="s">
        <v>32</v>
      </c>
      <c r="V14" s="29" t="s">
        <v>33</v>
      </c>
      <c r="W14" s="29" t="s">
        <v>34</v>
      </c>
      <c r="X14" s="29" t="s">
        <v>35</v>
      </c>
      <c r="Y14" s="30" t="s">
        <v>36</v>
      </c>
    </row>
    <row r="15" spans="1:25" x14ac:dyDescent="0.35">
      <c r="A15" s="35">
        <v>1</v>
      </c>
      <c r="B15" s="38">
        <v>43649</v>
      </c>
      <c r="C15" s="33">
        <v>0.4513888888888889</v>
      </c>
      <c r="D15" s="37">
        <f>2</f>
        <v>2</v>
      </c>
      <c r="E15" s="35">
        <v>6.6040000000000001</v>
      </c>
      <c r="F15" s="35">
        <v>12.975</v>
      </c>
      <c r="G15" s="31">
        <f t="shared" ref="G15:G31" si="0">F15-E15</f>
        <v>6.3709999999999996</v>
      </c>
      <c r="H15" s="35">
        <v>8.9700000000000006</v>
      </c>
      <c r="I15" s="35">
        <v>2.6659999999999999</v>
      </c>
      <c r="J15" s="35">
        <v>0.03</v>
      </c>
      <c r="K15" s="35">
        <v>0.51</v>
      </c>
      <c r="L15" s="35">
        <v>5.0330000000000004</v>
      </c>
      <c r="M15" s="31">
        <f t="shared" ref="M15:M31" si="1">((I15+J15)/I15)*(L15/K15)</f>
        <v>9.9796772722592415</v>
      </c>
      <c r="N15" s="35">
        <v>0.30199999999999999</v>
      </c>
      <c r="O15" s="35">
        <v>10.074</v>
      </c>
      <c r="P15" s="31">
        <f>O15/N15</f>
        <v>33.357615894039739</v>
      </c>
      <c r="Q15" s="31">
        <v>2.6138599999999999</v>
      </c>
      <c r="R15" s="31">
        <f t="shared" ref="R15:R31" si="2">Q15/24.305*M15</f>
        <v>1.0732556772214581</v>
      </c>
      <c r="S15" s="31">
        <v>4.9306000000000001</v>
      </c>
      <c r="T15" s="31">
        <f>S15/60.08*P15</f>
        <v>2.7375675919965441</v>
      </c>
      <c r="U15" s="31">
        <f t="shared" ref="U15:U31" si="3">((($O$38-R15)*10^(-6))*$C$6)/($C$7*$C$5*4)</f>
        <v>1.6291490960832752E-18</v>
      </c>
      <c r="V15" s="31">
        <f t="shared" ref="V15:V31" si="4">LOG(U15)</f>
        <v>-17.788039168212553</v>
      </c>
      <c r="W15" s="31">
        <f t="shared" ref="W15:W31" si="5">((($Q$38-T15)*10^(-6))*$C$6)/($C$7*$C$5*6)</f>
        <v>-1.1601767790869721E-19</v>
      </c>
      <c r="X15" s="31" t="e">
        <f t="shared" ref="X15:X31" si="6">LOG(W15)</f>
        <v>#NUM!</v>
      </c>
      <c r="Y15" s="31">
        <f t="shared" ref="Y15:Y31" si="7">($Q$38-T15)/($O$38-R15)</f>
        <v>-0.10682049744951662</v>
      </c>
    </row>
    <row r="16" spans="1:25" x14ac:dyDescent="0.35">
      <c r="A16" s="35">
        <v>2</v>
      </c>
      <c r="B16" s="32">
        <v>43649</v>
      </c>
      <c r="C16" s="33">
        <v>0.71875</v>
      </c>
      <c r="D16" s="37">
        <f>D15+7-35/60</f>
        <v>8.4166666666666661</v>
      </c>
      <c r="E16" s="35">
        <v>6.6710000000000003</v>
      </c>
      <c r="F16" s="35">
        <v>12.266999999999999</v>
      </c>
      <c r="G16" s="31">
        <f t="shared" si="0"/>
        <v>5.5959999999999992</v>
      </c>
      <c r="H16" s="35">
        <v>8.7100000000000009</v>
      </c>
      <c r="I16" s="35">
        <v>2.41</v>
      </c>
      <c r="J16" s="35">
        <v>2.8000000000000001E-2</v>
      </c>
      <c r="K16" s="35">
        <v>0.50900000000000001</v>
      </c>
      <c r="L16" s="35">
        <v>5.0140000000000002</v>
      </c>
      <c r="M16" s="31">
        <f t="shared" si="1"/>
        <v>9.9651354457931518</v>
      </c>
      <c r="N16" s="35">
        <v>0.30299999999999999</v>
      </c>
      <c r="O16" s="35">
        <v>10.009</v>
      </c>
      <c r="P16" s="31">
        <f t="shared" ref="P16:P31" si="8">O16/N16</f>
        <v>33.033003300330037</v>
      </c>
      <c r="Q16" s="35">
        <v>2.4075299999999999</v>
      </c>
      <c r="R16" s="31">
        <f t="shared" si="2"/>
        <v>0.98709576382680042</v>
      </c>
      <c r="S16" s="35">
        <v>4.7306999999999997</v>
      </c>
      <c r="T16" s="31">
        <f t="shared" ref="T16:T25" si="9">S16/60.08*P16</f>
        <v>2.6010191197215597</v>
      </c>
      <c r="U16" s="31">
        <f t="shared" si="3"/>
        <v>6.7947699580618596E-18</v>
      </c>
      <c r="V16" s="31">
        <f t="shared" si="4"/>
        <v>-17.167825242041939</v>
      </c>
      <c r="W16" s="31">
        <f t="shared" si="5"/>
        <v>5.3417225422952147E-18</v>
      </c>
      <c r="X16" s="31">
        <f t="shared" si="6"/>
        <v>-17.272318673686328</v>
      </c>
      <c r="Y16" s="31">
        <f t="shared" si="7"/>
        <v>1.1792281214665776</v>
      </c>
    </row>
    <row r="17" spans="1:25" x14ac:dyDescent="0.35">
      <c r="A17" s="31">
        <v>3</v>
      </c>
      <c r="B17" s="38">
        <v>43650</v>
      </c>
      <c r="C17" s="36">
        <v>0.38194444444444442</v>
      </c>
      <c r="D17" s="37">
        <f>D15+24-1-40/60</f>
        <v>24.333333333333332</v>
      </c>
      <c r="E17" s="35">
        <v>6.6580000000000004</v>
      </c>
      <c r="F17" s="35">
        <v>12.073</v>
      </c>
      <c r="G17" s="31">
        <f t="shared" si="0"/>
        <v>5.415</v>
      </c>
      <c r="H17" s="35">
        <v>8.48</v>
      </c>
      <c r="I17" s="35">
        <v>2.056</v>
      </c>
      <c r="J17" s="35">
        <v>3.5000000000000003E-2</v>
      </c>
      <c r="K17" s="35">
        <v>0.50900000000000001</v>
      </c>
      <c r="L17" s="35">
        <v>5.0170000000000003</v>
      </c>
      <c r="M17" s="31">
        <f t="shared" si="1"/>
        <v>10.024373533211534</v>
      </c>
      <c r="N17" s="35">
        <v>0.30199999999999999</v>
      </c>
      <c r="O17" s="35">
        <v>10.023</v>
      </c>
      <c r="P17" s="31">
        <f t="shared" si="8"/>
        <v>33.188741721854306</v>
      </c>
      <c r="Q17" s="35">
        <v>2.1989399999999999</v>
      </c>
      <c r="R17" s="31">
        <f t="shared" si="2"/>
        <v>0.90693256272866363</v>
      </c>
      <c r="S17" s="35">
        <v>4.4634</v>
      </c>
      <c r="T17" s="31">
        <f t="shared" si="9"/>
        <v>2.4656229993562668</v>
      </c>
      <c r="U17" s="31">
        <f t="shared" si="3"/>
        <v>1.1600864667776316E-17</v>
      </c>
      <c r="V17" s="31">
        <f t="shared" si="4"/>
        <v>-16.935509639527485</v>
      </c>
      <c r="W17" s="31">
        <f t="shared" si="5"/>
        <v>1.0753404119289364E-17</v>
      </c>
      <c r="X17" s="31">
        <f t="shared" si="6"/>
        <v>-16.968454032846299</v>
      </c>
      <c r="Y17" s="31">
        <f t="shared" si="7"/>
        <v>1.3904227521711023</v>
      </c>
    </row>
    <row r="18" spans="1:25" x14ac:dyDescent="0.35">
      <c r="A18" s="35">
        <v>4</v>
      </c>
      <c r="B18" s="32">
        <v>43650</v>
      </c>
      <c r="C18" s="36">
        <v>0.67361111111111116</v>
      </c>
      <c r="D18" s="37">
        <f>D17+7</f>
        <v>31.333333333333332</v>
      </c>
      <c r="E18" s="35">
        <v>6.6440000000000001</v>
      </c>
      <c r="F18" s="35">
        <v>12.128</v>
      </c>
      <c r="G18" s="31">
        <f t="shared" si="0"/>
        <v>5.484</v>
      </c>
      <c r="H18" s="35">
        <v>7.84</v>
      </c>
      <c r="I18" s="35">
        <v>2.0390000000000001</v>
      </c>
      <c r="J18" s="35">
        <v>2.5999999999999999E-2</v>
      </c>
      <c r="K18" s="35">
        <v>0.505</v>
      </c>
      <c r="L18" s="35">
        <v>5.01</v>
      </c>
      <c r="M18" s="31">
        <f t="shared" si="1"/>
        <v>10.047295558393504</v>
      </c>
      <c r="N18" s="35">
        <v>0.30299999999999999</v>
      </c>
      <c r="O18" s="35">
        <v>10.050000000000001</v>
      </c>
      <c r="P18" s="31">
        <f t="shared" si="8"/>
        <v>33.168316831683171</v>
      </c>
      <c r="Q18" s="35">
        <v>2.1494</v>
      </c>
      <c r="R18" s="31">
        <f t="shared" si="2"/>
        <v>0.88852734306566539</v>
      </c>
      <c r="S18" s="35">
        <v>4.4432</v>
      </c>
      <c r="T18" s="31">
        <f t="shared" si="9"/>
        <v>2.4529538173524412</v>
      </c>
      <c r="U18" s="31">
        <f t="shared" si="3"/>
        <v>1.2704328946169814E-17</v>
      </c>
      <c r="V18" s="31">
        <f t="shared" si="4"/>
        <v>-16.896048269824341</v>
      </c>
      <c r="W18" s="31">
        <f t="shared" si="5"/>
        <v>1.1259781840162848E-17</v>
      </c>
      <c r="X18" s="31">
        <f t="shared" si="6"/>
        <v>-16.948470023919068</v>
      </c>
      <c r="Y18" s="31">
        <f t="shared" si="7"/>
        <v>1.3294423366876282</v>
      </c>
    </row>
    <row r="19" spans="1:25" x14ac:dyDescent="0.35">
      <c r="A19" s="35">
        <v>5</v>
      </c>
      <c r="B19" s="32">
        <v>43651</v>
      </c>
      <c r="C19" s="36">
        <v>0.49305555555555558</v>
      </c>
      <c r="D19" s="37">
        <f>D17+26+4/6</f>
        <v>50.999999999999993</v>
      </c>
      <c r="E19" s="35">
        <v>6.63</v>
      </c>
      <c r="F19" s="35">
        <v>11.894</v>
      </c>
      <c r="G19" s="31">
        <f t="shared" si="0"/>
        <v>5.2640000000000002</v>
      </c>
      <c r="H19" s="35">
        <v>7.84</v>
      </c>
      <c r="I19" s="35">
        <v>2.1150000000000002</v>
      </c>
      <c r="J19" s="35">
        <v>6.3E-2</v>
      </c>
      <c r="K19" s="35">
        <v>0.51100000000000001</v>
      </c>
      <c r="L19" s="35">
        <v>5.0140000000000002</v>
      </c>
      <c r="M19" s="31">
        <f t="shared" si="1"/>
        <v>10.104409376691512</v>
      </c>
      <c r="N19" s="35">
        <v>0.30399999999999999</v>
      </c>
      <c r="O19" s="35">
        <v>10.025</v>
      </c>
      <c r="P19" s="31">
        <f t="shared" si="8"/>
        <v>32.976973684210527</v>
      </c>
      <c r="Q19" s="35">
        <v>2.1118700000000001</v>
      </c>
      <c r="R19" s="31">
        <f t="shared" si="2"/>
        <v>0.87797568526449321</v>
      </c>
      <c r="S19" s="35">
        <v>4.4157000000000002</v>
      </c>
      <c r="T19" s="31">
        <f t="shared" si="9"/>
        <v>2.4237087666006731</v>
      </c>
      <c r="U19" s="31">
        <f t="shared" si="3"/>
        <v>1.3336941741595089E-17</v>
      </c>
      <c r="V19" s="31">
        <f t="shared" si="4"/>
        <v>-16.874943745908158</v>
      </c>
      <c r="W19" s="31">
        <f t="shared" si="5"/>
        <v>1.2428684626628297E-17</v>
      </c>
      <c r="X19" s="31">
        <f t="shared" si="6"/>
        <v>-16.90557483190744</v>
      </c>
      <c r="Y19" s="31">
        <f t="shared" si="7"/>
        <v>1.3978487198304843</v>
      </c>
    </row>
    <row r="20" spans="1:25" x14ac:dyDescent="0.35">
      <c r="A20" s="31">
        <v>6</v>
      </c>
      <c r="B20" s="32">
        <v>43652</v>
      </c>
      <c r="C20" s="36">
        <v>0.38194444444444442</v>
      </c>
      <c r="D20" s="37">
        <f>D17+2*24</f>
        <v>72.333333333333329</v>
      </c>
      <c r="E20" s="35">
        <v>6.649</v>
      </c>
      <c r="F20" s="35">
        <v>11.853</v>
      </c>
      <c r="G20" s="31">
        <f t="shared" si="0"/>
        <v>5.2039999999999997</v>
      </c>
      <c r="H20" s="35">
        <v>7.84</v>
      </c>
      <c r="I20" s="35">
        <v>1.905</v>
      </c>
      <c r="J20" s="35">
        <v>0.03</v>
      </c>
      <c r="K20" s="35">
        <v>0.50800000000000001</v>
      </c>
      <c r="L20" s="35">
        <v>5.0140000000000002</v>
      </c>
      <c r="M20" s="31">
        <f t="shared" si="1"/>
        <v>10.025513051026103</v>
      </c>
      <c r="N20" s="35">
        <v>0.30299999999999999</v>
      </c>
      <c r="O20" s="35">
        <v>10.019</v>
      </c>
      <c r="P20" s="31">
        <f t="shared" si="8"/>
        <v>33.066006600660067</v>
      </c>
      <c r="Q20" s="35">
        <v>2.1341999999999999</v>
      </c>
      <c r="R20" s="31">
        <f t="shared" si="2"/>
        <v>0.8803312056572683</v>
      </c>
      <c r="S20" s="35">
        <v>4.3987999999999996</v>
      </c>
      <c r="T20" s="31">
        <f t="shared" si="9"/>
        <v>2.4209512289444657</v>
      </c>
      <c r="U20" s="31">
        <f t="shared" si="3"/>
        <v>1.3195719161368014E-17</v>
      </c>
      <c r="V20" s="31">
        <f t="shared" si="4"/>
        <v>-16.87956693592497</v>
      </c>
      <c r="W20" s="31">
        <f t="shared" si="5"/>
        <v>1.2538901342526095E-17</v>
      </c>
      <c r="X20" s="31">
        <f t="shared" si="6"/>
        <v>-16.901740514684036</v>
      </c>
      <c r="Y20" s="31">
        <f t="shared" si="7"/>
        <v>1.425337397968635</v>
      </c>
    </row>
    <row r="21" spans="1:25" x14ac:dyDescent="0.35">
      <c r="A21" s="35">
        <v>7</v>
      </c>
      <c r="B21" s="32">
        <v>43653</v>
      </c>
      <c r="C21" s="36">
        <v>0.3923611111111111</v>
      </c>
      <c r="D21" s="37">
        <f>D20+24+15/60</f>
        <v>96.583333333333329</v>
      </c>
      <c r="E21" s="35">
        <v>6.6719999999999997</v>
      </c>
      <c r="F21" s="35">
        <v>11.936999999999999</v>
      </c>
      <c r="G21" s="31">
        <f t="shared" si="0"/>
        <v>5.2649999999999997</v>
      </c>
      <c r="H21" s="35">
        <v>7.71</v>
      </c>
      <c r="I21" s="35">
        <v>1.901</v>
      </c>
      <c r="J21" s="35">
        <v>2.9000000000000001E-2</v>
      </c>
      <c r="K21" s="35">
        <v>0.505</v>
      </c>
      <c r="L21" s="35">
        <v>5.0170000000000003</v>
      </c>
      <c r="M21" s="31">
        <f t="shared" si="1"/>
        <v>10.086207884333936</v>
      </c>
      <c r="N21" s="35">
        <v>0.30199999999999999</v>
      </c>
      <c r="O21" s="35">
        <v>10.045</v>
      </c>
      <c r="P21" s="31">
        <f t="shared" si="8"/>
        <v>33.26158940397351</v>
      </c>
      <c r="Q21" s="35">
        <v>2.1570499999999999</v>
      </c>
      <c r="R21" s="31">
        <f t="shared" si="2"/>
        <v>0.89514316876784672</v>
      </c>
      <c r="S21" s="35">
        <v>4.41</v>
      </c>
      <c r="T21" s="31">
        <f t="shared" si="9"/>
        <v>2.4414715258242876</v>
      </c>
      <c r="U21" s="31">
        <f t="shared" si="3"/>
        <v>1.2307684544847552E-17</v>
      </c>
      <c r="V21" s="31">
        <f t="shared" si="4"/>
        <v>-16.90982364357405</v>
      </c>
      <c r="W21" s="31">
        <f t="shared" si="5"/>
        <v>1.1718720437198997E-17</v>
      </c>
      <c r="X21" s="31">
        <f t="shared" si="6"/>
        <v>-16.931119806184938</v>
      </c>
      <c r="Y21" s="31">
        <f t="shared" si="7"/>
        <v>1.4282199541064224</v>
      </c>
    </row>
    <row r="22" spans="1:25" x14ac:dyDescent="0.35">
      <c r="A22" s="35">
        <v>8</v>
      </c>
      <c r="B22" s="32">
        <v>43654</v>
      </c>
      <c r="C22" s="36">
        <v>0.44097222222222227</v>
      </c>
      <c r="D22" s="37">
        <f>D21+24+1+1/60</f>
        <v>121.6</v>
      </c>
      <c r="E22" s="35">
        <v>6.6520000000000001</v>
      </c>
      <c r="F22" s="35">
        <v>11.787000000000001</v>
      </c>
      <c r="G22" s="31">
        <f t="shared" si="0"/>
        <v>5.1350000000000007</v>
      </c>
      <c r="H22" s="35">
        <v>7.64</v>
      </c>
      <c r="I22" s="35">
        <v>1.889</v>
      </c>
      <c r="J22" s="35">
        <v>3.7999999999999999E-2</v>
      </c>
      <c r="K22" s="35">
        <v>0.50600000000000001</v>
      </c>
      <c r="L22" s="35">
        <v>5.0209999999999999</v>
      </c>
      <c r="M22" s="31">
        <f t="shared" si="1"/>
        <v>10.122539060129686</v>
      </c>
      <c r="N22" s="35">
        <v>0.30299999999999999</v>
      </c>
      <c r="O22" s="35">
        <v>10.029</v>
      </c>
      <c r="P22" s="31">
        <f t="shared" si="8"/>
        <v>33.099009900990097</v>
      </c>
      <c r="Q22" s="35">
        <v>2.14174</v>
      </c>
      <c r="R22" s="31">
        <f t="shared" si="2"/>
        <v>0.89199122841564105</v>
      </c>
      <c r="S22" s="35">
        <v>4.3787000000000003</v>
      </c>
      <c r="T22" s="31">
        <f t="shared" si="9"/>
        <v>2.412294185310675</v>
      </c>
      <c r="U22" s="31">
        <f t="shared" si="3"/>
        <v>1.2496655589473453E-17</v>
      </c>
      <c r="V22" s="31">
        <f t="shared" si="4"/>
        <v>-16.903206199262051</v>
      </c>
      <c r="W22" s="31">
        <f t="shared" si="5"/>
        <v>1.2884916896131491E-17</v>
      </c>
      <c r="X22" s="31">
        <f t="shared" si="6"/>
        <v>-16.889918378173839</v>
      </c>
      <c r="Y22" s="31">
        <f t="shared" si="7"/>
        <v>1.5466038257850072</v>
      </c>
    </row>
    <row r="23" spans="1:25" x14ac:dyDescent="0.35">
      <c r="A23" s="31">
        <v>9</v>
      </c>
      <c r="B23" s="32">
        <v>43655</v>
      </c>
      <c r="C23" s="36">
        <v>0.375</v>
      </c>
      <c r="D23" s="37">
        <f>D22+23-35/60</f>
        <v>144.01666666666665</v>
      </c>
      <c r="E23" s="35">
        <v>6.6360000000000001</v>
      </c>
      <c r="F23" s="35">
        <v>12.04</v>
      </c>
      <c r="G23" s="31">
        <f t="shared" si="0"/>
        <v>5.403999999999999</v>
      </c>
      <c r="H23" s="35">
        <v>7.59</v>
      </c>
      <c r="I23" s="35">
        <v>2.1339999999999999</v>
      </c>
      <c r="J23" s="35">
        <v>3.5999999999999997E-2</v>
      </c>
      <c r="K23" s="35">
        <v>0.50700000000000001</v>
      </c>
      <c r="L23" s="35">
        <v>5.0170000000000003</v>
      </c>
      <c r="M23" s="31">
        <f t="shared" si="1"/>
        <v>10.062397290787457</v>
      </c>
      <c r="N23" s="35">
        <v>0.30299999999999999</v>
      </c>
      <c r="O23" s="35">
        <v>9.9939999999999998</v>
      </c>
      <c r="P23" s="31">
        <f t="shared" si="8"/>
        <v>32.983498349834981</v>
      </c>
      <c r="Q23" s="35">
        <v>2.17197</v>
      </c>
      <c r="R23" s="31">
        <f t="shared" si="2"/>
        <v>0.89920695509860649</v>
      </c>
      <c r="S23" s="35">
        <v>4.4028999999999998</v>
      </c>
      <c r="T23" s="31">
        <f t="shared" si="9"/>
        <v>2.4171611998083962</v>
      </c>
      <c r="U23" s="31">
        <f t="shared" si="3"/>
        <v>1.2064044798453637E-17</v>
      </c>
      <c r="V23" s="31">
        <f t="shared" si="4"/>
        <v>-16.918507058768309</v>
      </c>
      <c r="W23" s="31">
        <f t="shared" si="5"/>
        <v>1.269038596997777E-17</v>
      </c>
      <c r="X23" s="31">
        <f t="shared" si="6"/>
        <v>-16.89652516891535</v>
      </c>
      <c r="Y23" s="31">
        <f t="shared" si="7"/>
        <v>1.5778770116475882</v>
      </c>
    </row>
    <row r="24" spans="1:25" x14ac:dyDescent="0.35">
      <c r="A24" s="35">
        <v>10</v>
      </c>
      <c r="B24" s="32">
        <v>43656</v>
      </c>
      <c r="C24" s="36">
        <v>0.51041666666666663</v>
      </c>
      <c r="D24" s="37">
        <f>D23+24+3+15/60</f>
        <v>171.26666666666665</v>
      </c>
      <c r="E24" s="35">
        <v>6.68</v>
      </c>
      <c r="F24" s="35">
        <v>11.968</v>
      </c>
      <c r="G24" s="31">
        <f t="shared" si="0"/>
        <v>5.2880000000000003</v>
      </c>
      <c r="H24" s="35">
        <v>7.06</v>
      </c>
      <c r="I24" s="35">
        <v>2.3239999999999998</v>
      </c>
      <c r="J24" s="35">
        <v>2.5999999999999999E-2</v>
      </c>
      <c r="K24" s="35">
        <v>0.50900000000000001</v>
      </c>
      <c r="L24" s="35">
        <v>5.0309999999999997</v>
      </c>
      <c r="M24" s="31">
        <f t="shared" si="1"/>
        <v>9.9946657243625054</v>
      </c>
      <c r="N24" s="35">
        <v>0.30099999999999999</v>
      </c>
      <c r="O24" s="35">
        <v>10.021000000000001</v>
      </c>
      <c r="P24" s="31">
        <f t="shared" si="8"/>
        <v>33.292358803986716</v>
      </c>
      <c r="Q24" s="35">
        <v>2.30267</v>
      </c>
      <c r="R24" s="31">
        <f t="shared" si="2"/>
        <v>0.94690051115070195</v>
      </c>
      <c r="S24" s="35">
        <v>4.3857999999999997</v>
      </c>
      <c r="T24" s="31">
        <f t="shared" si="9"/>
        <v>2.4303200273389636</v>
      </c>
      <c r="U24" s="31">
        <f t="shared" si="3"/>
        <v>9.2046311985796458E-18</v>
      </c>
      <c r="V24" s="31">
        <f t="shared" si="4"/>
        <v>-17.035993607663006</v>
      </c>
      <c r="W24" s="31">
        <f t="shared" si="5"/>
        <v>1.2164437483936297E-17</v>
      </c>
      <c r="X24" s="31">
        <f t="shared" si="6"/>
        <v>-16.914907969205078</v>
      </c>
      <c r="Y24" s="31">
        <f t="shared" si="7"/>
        <v>1.9823343089204986</v>
      </c>
    </row>
    <row r="25" spans="1:25" x14ac:dyDescent="0.35">
      <c r="A25" s="35">
        <v>11</v>
      </c>
      <c r="B25" s="32">
        <v>43657</v>
      </c>
      <c r="C25" s="36">
        <v>0.375</v>
      </c>
      <c r="D25" s="37">
        <f>D23+2*24</f>
        <v>192.01666666666665</v>
      </c>
      <c r="E25" s="35">
        <v>6.673</v>
      </c>
      <c r="F25" s="35">
        <v>13.351000000000001</v>
      </c>
      <c r="G25" s="31">
        <f t="shared" si="0"/>
        <v>6.6780000000000008</v>
      </c>
      <c r="H25" s="35">
        <v>7.06</v>
      </c>
      <c r="I25" s="35">
        <v>2.8769999999999998</v>
      </c>
      <c r="J25" s="35">
        <v>0.03</v>
      </c>
      <c r="K25" s="35">
        <v>0.505</v>
      </c>
      <c r="L25" s="35">
        <v>5.0179999999999998</v>
      </c>
      <c r="M25" s="31">
        <f t="shared" si="1"/>
        <v>10.040248195831053</v>
      </c>
      <c r="N25" s="35">
        <v>0.30199999999999999</v>
      </c>
      <c r="O25" s="35">
        <v>10.018000000000001</v>
      </c>
      <c r="P25" s="31">
        <f t="shared" si="8"/>
        <v>33.172185430463578</v>
      </c>
      <c r="Q25" s="35">
        <v>2.2032600000000002</v>
      </c>
      <c r="R25" s="31">
        <f t="shared" si="2"/>
        <v>0.91015335280587228</v>
      </c>
      <c r="S25" s="35">
        <v>4.3951000000000002</v>
      </c>
      <c r="T25" s="31">
        <f t="shared" si="9"/>
        <v>2.4266822933660199</v>
      </c>
      <c r="U25" s="31">
        <f t="shared" si="3"/>
        <v>1.1407765815196525E-17</v>
      </c>
      <c r="V25" s="31">
        <f t="shared" si="4"/>
        <v>-16.942799402833359</v>
      </c>
      <c r="W25" s="31">
        <f t="shared" si="5"/>
        <v>1.2309834987722018E-17</v>
      </c>
      <c r="X25" s="31">
        <f t="shared" si="6"/>
        <v>-16.909747768709796</v>
      </c>
      <c r="Y25" s="31">
        <f t="shared" si="7"/>
        <v>1.6186125119246173</v>
      </c>
    </row>
    <row r="26" spans="1:25" x14ac:dyDescent="0.35">
      <c r="A26" s="35">
        <v>12</v>
      </c>
      <c r="B26" s="32">
        <v>43658</v>
      </c>
      <c r="C26" s="33">
        <v>0.50347222222222221</v>
      </c>
      <c r="D26" s="37">
        <f>D24+2*24-1/6</f>
        <v>219.1</v>
      </c>
      <c r="E26" s="35">
        <v>6.6829999999999998</v>
      </c>
      <c r="F26" s="35">
        <v>11.724</v>
      </c>
      <c r="G26" s="31">
        <f t="shared" si="0"/>
        <v>5.0410000000000004</v>
      </c>
      <c r="H26" s="35">
        <v>7.14</v>
      </c>
      <c r="I26" s="35">
        <v>2.0470000000000002</v>
      </c>
      <c r="J26" s="35">
        <v>0.03</v>
      </c>
      <c r="K26" s="35">
        <v>0.51100000000000001</v>
      </c>
      <c r="L26" s="35">
        <v>5.0090000000000003</v>
      </c>
      <c r="M26" s="31">
        <f t="shared" si="1"/>
        <v>9.9460075696666479</v>
      </c>
      <c r="N26" s="35">
        <v>0.30199999999999999</v>
      </c>
      <c r="O26" s="35">
        <v>10.025</v>
      </c>
      <c r="P26" s="31">
        <f t="shared" si="8"/>
        <v>33.195364238410598</v>
      </c>
      <c r="Q26" s="31">
        <v>2.3544399999999999</v>
      </c>
      <c r="R26" s="31">
        <f t="shared" si="2"/>
        <v>0.96347574829565696</v>
      </c>
      <c r="S26" s="31">
        <v>4.4143999999999997</v>
      </c>
      <c r="T26" s="31">
        <f>S26/60.08*P26</f>
        <v>2.4390415428435377</v>
      </c>
      <c r="U26" s="31">
        <f t="shared" si="3"/>
        <v>8.2108814672396086E-18</v>
      </c>
      <c r="V26" s="31">
        <f t="shared" si="4"/>
        <v>-17.085610217325254</v>
      </c>
      <c r="W26" s="31">
        <f t="shared" si="5"/>
        <v>1.1815845037917648E-17</v>
      </c>
      <c r="X26" s="31">
        <f t="shared" si="6"/>
        <v>-16.927535213330717</v>
      </c>
      <c r="Y26" s="31">
        <f t="shared" si="7"/>
        <v>2.1585706269895737</v>
      </c>
    </row>
    <row r="27" spans="1:25" x14ac:dyDescent="0.35">
      <c r="A27" s="35">
        <v>13</v>
      </c>
      <c r="B27" s="32">
        <v>43659</v>
      </c>
      <c r="C27" s="33">
        <v>0.4201388888888889</v>
      </c>
      <c r="D27" s="37">
        <f>D26+24-2</f>
        <v>241.1</v>
      </c>
      <c r="E27" s="35">
        <v>6.6879999999999997</v>
      </c>
      <c r="F27" s="35">
        <v>11.76</v>
      </c>
      <c r="G27" s="31">
        <f t="shared" si="0"/>
        <v>5.0720000000000001</v>
      </c>
      <c r="H27" s="35">
        <v>7.84</v>
      </c>
      <c r="I27" s="35">
        <v>2.0089999999999999</v>
      </c>
      <c r="J27" s="35">
        <v>3.4000000000000002E-2</v>
      </c>
      <c r="K27" s="35">
        <v>0.51300000000000001</v>
      </c>
      <c r="L27" s="35">
        <v>5.0209999999999999</v>
      </c>
      <c r="M27" s="31">
        <f t="shared" si="1"/>
        <v>9.9531668893488057</v>
      </c>
      <c r="N27" s="35">
        <v>0.30499999999999999</v>
      </c>
      <c r="O27" s="35">
        <v>10.106999999999999</v>
      </c>
      <c r="P27" s="31">
        <f t="shared" si="8"/>
        <v>33.137704918032789</v>
      </c>
      <c r="Q27" s="35">
        <v>2.2753100000000002</v>
      </c>
      <c r="R27" s="31">
        <f t="shared" si="2"/>
        <v>0.93176466385534795</v>
      </c>
      <c r="S27" s="35">
        <v>4.4579000000000004</v>
      </c>
      <c r="T27" s="31">
        <f t="shared" ref="T27:T31" si="10">S27/60.08*P27</f>
        <v>2.4587978487699464</v>
      </c>
      <c r="U27" s="31">
        <f t="shared" si="3"/>
        <v>1.0112083927721441E-17</v>
      </c>
      <c r="V27" s="31">
        <f t="shared" si="4"/>
        <v>-16.995159334513129</v>
      </c>
      <c r="W27" s="31">
        <f t="shared" si="5"/>
        <v>1.1026200279094758E-17</v>
      </c>
      <c r="X27" s="31">
        <f t="shared" si="6"/>
        <v>-16.957574123291927</v>
      </c>
      <c r="Y27" s="31">
        <f t="shared" si="7"/>
        <v>1.6355976213074157</v>
      </c>
    </row>
    <row r="28" spans="1:25" x14ac:dyDescent="0.35">
      <c r="A28" s="31">
        <v>14</v>
      </c>
      <c r="B28" s="32">
        <v>43660</v>
      </c>
      <c r="C28" s="36">
        <v>0.39930555555555558</v>
      </c>
      <c r="D28" s="37">
        <f>D27+23.5</f>
        <v>264.60000000000002</v>
      </c>
      <c r="E28" s="35">
        <v>6.7409999999999997</v>
      </c>
      <c r="F28" s="35">
        <v>11.743</v>
      </c>
      <c r="G28" s="31">
        <f t="shared" si="0"/>
        <v>5.0020000000000007</v>
      </c>
      <c r="H28" s="35">
        <v>7.79</v>
      </c>
      <c r="I28" s="35">
        <v>2.2269999999999999</v>
      </c>
      <c r="J28" s="35">
        <v>0.03</v>
      </c>
      <c r="K28" s="35">
        <v>0.503</v>
      </c>
      <c r="L28" s="35">
        <v>5.0030000000000001</v>
      </c>
      <c r="M28" s="31">
        <f t="shared" si="1"/>
        <v>10.080309342865124</v>
      </c>
      <c r="N28" s="35">
        <v>0.30599999999999999</v>
      </c>
      <c r="O28" s="35">
        <v>10.061999999999999</v>
      </c>
      <c r="P28" s="31">
        <f t="shared" si="8"/>
        <v>32.882352941176471</v>
      </c>
      <c r="Q28" s="35">
        <v>2.2171400000000001</v>
      </c>
      <c r="R28" s="31">
        <f t="shared" si="2"/>
        <v>0.91954153698580476</v>
      </c>
      <c r="S28" s="35">
        <v>4.4413999999999998</v>
      </c>
      <c r="T28" s="31">
        <f t="shared" si="10"/>
        <v>2.4308202788438944</v>
      </c>
      <c r="U28" s="31">
        <f t="shared" si="3"/>
        <v>1.0844907774313633E-17</v>
      </c>
      <c r="V28" s="31">
        <f t="shared" si="4"/>
        <v>-16.964774136898011</v>
      </c>
      <c r="W28" s="31">
        <f t="shared" si="5"/>
        <v>1.2144442805759447E-17</v>
      </c>
      <c r="X28" s="31">
        <f t="shared" si="6"/>
        <v>-16.915622406090236</v>
      </c>
      <c r="Y28" s="31">
        <f t="shared" si="7"/>
        <v>1.6797435799118254</v>
      </c>
    </row>
    <row r="29" spans="1:25" x14ac:dyDescent="0.35">
      <c r="A29" s="35">
        <v>15</v>
      </c>
      <c r="B29" s="32">
        <v>43661</v>
      </c>
      <c r="C29" s="36">
        <v>0.56597222222222221</v>
      </c>
      <c r="D29" s="37">
        <f>D28+24+4</f>
        <v>292.60000000000002</v>
      </c>
      <c r="E29" s="35">
        <v>6.6769999999999996</v>
      </c>
      <c r="F29" s="35">
        <v>12.021000000000001</v>
      </c>
      <c r="G29" s="31">
        <f t="shared" si="0"/>
        <v>5.3440000000000012</v>
      </c>
      <c r="H29" s="35">
        <v>7.8</v>
      </c>
      <c r="I29" s="35">
        <v>1.9930000000000001</v>
      </c>
      <c r="J29" s="35">
        <v>3.5999999999999997E-2</v>
      </c>
      <c r="K29" s="35">
        <v>0.50600000000000001</v>
      </c>
      <c r="L29" s="35">
        <v>5.0069999999999997</v>
      </c>
      <c r="M29" s="31">
        <f t="shared" si="1"/>
        <v>10.073997132255382</v>
      </c>
      <c r="N29" s="35">
        <v>0.30399999999999999</v>
      </c>
      <c r="O29" s="35">
        <v>10.048999999999999</v>
      </c>
      <c r="P29" s="31">
        <f t="shared" si="8"/>
        <v>33.055921052631575</v>
      </c>
      <c r="Q29" s="35">
        <v>2.1803499999999998</v>
      </c>
      <c r="R29" s="31">
        <f t="shared" si="2"/>
        <v>0.90371691616181948</v>
      </c>
      <c r="S29" s="35">
        <v>4.4150999999999998</v>
      </c>
      <c r="T29" s="31">
        <f t="shared" si="10"/>
        <v>2.4291810426010927</v>
      </c>
      <c r="U29" s="31">
        <f t="shared" si="3"/>
        <v>1.179365514696765E-17</v>
      </c>
      <c r="V29" s="31">
        <f t="shared" si="4"/>
        <v>-16.928351575384617</v>
      </c>
      <c r="W29" s="31">
        <f t="shared" si="5"/>
        <v>1.2209961851294708E-17</v>
      </c>
      <c r="X29" s="31">
        <f t="shared" si="6"/>
        <v>-16.913285692959139</v>
      </c>
      <c r="Y29" s="31">
        <f t="shared" si="7"/>
        <v>1.5529488143165813</v>
      </c>
    </row>
    <row r="30" spans="1:25" x14ac:dyDescent="0.35">
      <c r="A30" s="35">
        <v>16</v>
      </c>
      <c r="B30" s="32">
        <v>43662</v>
      </c>
      <c r="C30" s="36">
        <v>0.4236111111111111</v>
      </c>
      <c r="D30" s="37">
        <f>D28+2*24+35/60</f>
        <v>313.18333333333334</v>
      </c>
      <c r="E30" s="35">
        <v>6.6619999999999999</v>
      </c>
      <c r="F30" s="35">
        <v>11.664999999999999</v>
      </c>
      <c r="G30" s="31">
        <f t="shared" si="0"/>
        <v>5.0029999999999992</v>
      </c>
      <c r="H30" s="35">
        <v>7.69</v>
      </c>
      <c r="I30" s="35">
        <v>1.9259999999999999</v>
      </c>
      <c r="J30" s="35">
        <v>2.3E-2</v>
      </c>
      <c r="K30" s="35">
        <v>0.50700000000000001</v>
      </c>
      <c r="L30" s="35">
        <v>5.0090000000000003</v>
      </c>
      <c r="M30" s="31">
        <f t="shared" si="1"/>
        <v>9.9976661116129133</v>
      </c>
      <c r="N30" s="35">
        <v>0.30499999999999999</v>
      </c>
      <c r="O30" s="35">
        <v>10.095000000000001</v>
      </c>
      <c r="P30" s="31">
        <f t="shared" si="8"/>
        <v>33.098360655737707</v>
      </c>
      <c r="Q30" s="35">
        <v>2.1648999999999998</v>
      </c>
      <c r="R30" s="31">
        <f t="shared" si="2"/>
        <v>0.89051418905701674</v>
      </c>
      <c r="S30" s="35">
        <v>4.4912999999999998</v>
      </c>
      <c r="T30" s="31">
        <f t="shared" si="10"/>
        <v>2.4742787485538411</v>
      </c>
      <c r="U30" s="31">
        <f t="shared" si="3"/>
        <v>1.2585209825710026E-17</v>
      </c>
      <c r="V30" s="31">
        <f t="shared" si="4"/>
        <v>-16.900139539321945</v>
      </c>
      <c r="W30" s="31">
        <f t="shared" si="5"/>
        <v>1.0407440303330558E-17</v>
      </c>
      <c r="X30" s="31">
        <f t="shared" si="6"/>
        <v>-16.982656071530158</v>
      </c>
      <c r="Y30" s="31">
        <f t="shared" si="7"/>
        <v>1.2404370424642557</v>
      </c>
    </row>
    <row r="31" spans="1:25" x14ac:dyDescent="0.35">
      <c r="A31" s="31">
        <v>17</v>
      </c>
      <c r="B31" s="32">
        <v>43663</v>
      </c>
      <c r="C31" s="36">
        <v>0.33333333333333331</v>
      </c>
      <c r="D31" s="37">
        <f>D30+22-1/60</f>
        <v>335.16666666666669</v>
      </c>
      <c r="E31" s="35">
        <v>6.6619999999999999</v>
      </c>
      <c r="F31" s="35">
        <v>11.619</v>
      </c>
      <c r="G31" s="31">
        <f t="shared" si="0"/>
        <v>4.9569999999999999</v>
      </c>
      <c r="H31" s="35">
        <v>7.72</v>
      </c>
      <c r="I31" s="35">
        <v>1.9830000000000001</v>
      </c>
      <c r="J31" s="35">
        <v>2.1000000000000001E-2</v>
      </c>
      <c r="K31" s="35">
        <v>0.501</v>
      </c>
      <c r="L31" s="35">
        <v>5.0430000000000001</v>
      </c>
      <c r="M31" s="31">
        <f t="shared" si="1"/>
        <v>10.172465960665658</v>
      </c>
      <c r="N31" s="35">
        <v>0.29899999999999999</v>
      </c>
      <c r="O31" s="35">
        <v>9.9610000000000003</v>
      </c>
      <c r="P31" s="31">
        <f t="shared" si="8"/>
        <v>33.314381270903013</v>
      </c>
      <c r="Q31" s="35">
        <v>2.1881599999999999</v>
      </c>
      <c r="R31" s="31">
        <f t="shared" si="2"/>
        <v>0.91581909551492147</v>
      </c>
      <c r="S31" s="35">
        <v>4.3929</v>
      </c>
      <c r="T31" s="31">
        <f t="shared" si="10"/>
        <v>2.4358646052754636</v>
      </c>
      <c r="U31" s="31">
        <f t="shared" si="3"/>
        <v>1.1068082572916452E-17</v>
      </c>
      <c r="V31" s="31">
        <f t="shared" si="4"/>
        <v>-16.955927609485169</v>
      </c>
      <c r="W31" s="31">
        <f t="shared" si="5"/>
        <v>1.1942824854340916E-17</v>
      </c>
      <c r="X31" s="31">
        <f t="shared" si="6"/>
        <v>-16.922892936728395</v>
      </c>
      <c r="Y31" s="31">
        <f t="shared" si="7"/>
        <v>1.6185492982630458</v>
      </c>
    </row>
    <row r="35" spans="1:17" ht="15" thickBot="1" x14ac:dyDescent="0.4"/>
    <row r="36" spans="1:17" x14ac:dyDescent="0.35">
      <c r="A36" s="11" t="s">
        <v>8</v>
      </c>
      <c r="B36" s="12"/>
      <c r="C36" s="12"/>
      <c r="D36" s="12"/>
      <c r="E36" s="13" t="s">
        <v>9</v>
      </c>
      <c r="F36" s="14"/>
      <c r="G36" s="14"/>
      <c r="H36" s="15" t="s">
        <v>10</v>
      </c>
      <c r="I36" s="15"/>
      <c r="J36" s="15"/>
      <c r="K36" s="16" t="s">
        <v>10</v>
      </c>
      <c r="L36" s="16"/>
      <c r="M36" s="16"/>
      <c r="N36" s="17" t="s">
        <v>11</v>
      </c>
      <c r="O36" s="18"/>
      <c r="P36" s="18"/>
      <c r="Q36" s="40"/>
    </row>
    <row r="37" spans="1:17" ht="15" thickBot="1" x14ac:dyDescent="0.4">
      <c r="A37" s="22" t="s">
        <v>13</v>
      </c>
      <c r="B37" s="23" t="s">
        <v>14</v>
      </c>
      <c r="C37" s="23" t="s">
        <v>15</v>
      </c>
      <c r="D37" s="23" t="s">
        <v>16</v>
      </c>
      <c r="E37" s="24" t="s">
        <v>20</v>
      </c>
      <c r="F37" s="24" t="s">
        <v>21</v>
      </c>
      <c r="G37" s="24" t="s">
        <v>22</v>
      </c>
      <c r="H37" s="25" t="s">
        <v>21</v>
      </c>
      <c r="I37" s="25" t="s">
        <v>23</v>
      </c>
      <c r="J37" s="25" t="s">
        <v>24</v>
      </c>
      <c r="K37" s="26" t="s">
        <v>25</v>
      </c>
      <c r="L37" s="26" t="s">
        <v>26</v>
      </c>
      <c r="M37" s="26" t="s">
        <v>27</v>
      </c>
      <c r="N37" s="27" t="s">
        <v>28</v>
      </c>
      <c r="O37" s="27" t="s">
        <v>29</v>
      </c>
      <c r="P37" s="27" t="s">
        <v>30</v>
      </c>
      <c r="Q37" s="41" t="s">
        <v>31</v>
      </c>
    </row>
    <row r="38" spans="1:17" x14ac:dyDescent="0.35">
      <c r="A38" s="31">
        <v>1</v>
      </c>
      <c r="B38" s="32">
        <v>43649</v>
      </c>
      <c r="C38" s="33">
        <v>0.36805555555555558</v>
      </c>
      <c r="D38" s="34">
        <v>0</v>
      </c>
      <c r="E38" s="31">
        <v>9.24</v>
      </c>
      <c r="F38" s="31">
        <v>5.1559999999999997</v>
      </c>
      <c r="G38" s="31">
        <v>8.2000000000000003E-2</v>
      </c>
      <c r="H38" s="31">
        <v>0.50800000000000001</v>
      </c>
      <c r="I38" s="31">
        <v>5.0090000000000003</v>
      </c>
      <c r="J38" s="31">
        <f>((F38+G38)/F38)*(I38/H38)</f>
        <v>10.017051459044731</v>
      </c>
      <c r="K38" s="31">
        <v>0.30299999999999999</v>
      </c>
      <c r="L38" s="31">
        <v>10.065</v>
      </c>
      <c r="M38" s="31">
        <f>L38/K38</f>
        <v>33.21782178217822</v>
      </c>
      <c r="N38" s="31">
        <v>2.6700400000000002</v>
      </c>
      <c r="O38" s="31">
        <f>N38/24.305*J38</f>
        <v>1.1004290507182801</v>
      </c>
      <c r="P38" s="31">
        <v>4.9461000000000004</v>
      </c>
      <c r="Q38" s="31">
        <f>P38/60.08*M38</f>
        <v>2.7346649187222321</v>
      </c>
    </row>
    <row r="39" spans="1:17" x14ac:dyDescent="0.35">
      <c r="A39" s="35">
        <v>2</v>
      </c>
      <c r="B39" s="38">
        <v>43651</v>
      </c>
      <c r="C39" s="36">
        <v>0.625</v>
      </c>
      <c r="D39" s="37">
        <f>2*24+6+1/6</f>
        <v>54.166666666666664</v>
      </c>
      <c r="E39" s="35">
        <v>9.25</v>
      </c>
      <c r="F39" s="35">
        <v>3.7919999999999998</v>
      </c>
      <c r="G39" s="35">
        <v>5.8999999999999997E-2</v>
      </c>
      <c r="H39" s="35">
        <v>0.51</v>
      </c>
      <c r="I39" s="35">
        <v>5.0149999999999997</v>
      </c>
      <c r="J39" s="31">
        <f t="shared" ref="J39:J41" si="11">((F39+G39)/F39)*(I39/H39)</f>
        <v>9.9863308720112514</v>
      </c>
      <c r="K39" s="35">
        <v>0.3</v>
      </c>
      <c r="L39" s="35">
        <v>10.012</v>
      </c>
      <c r="M39" s="31">
        <f t="shared" ref="M39:M43" si="12">L39/K39</f>
        <v>33.373333333333335</v>
      </c>
      <c r="N39" s="35">
        <v>2.6982300000000001</v>
      </c>
      <c r="O39" s="31">
        <f t="shared" ref="O39:O43" si="13">N39/24.305*J39</f>
        <v>1.1086368051342079</v>
      </c>
      <c r="P39" s="35">
        <v>5.0183</v>
      </c>
      <c r="Q39" s="31">
        <f t="shared" ref="Q39:Q43" si="14">P39/60.08*M39</f>
        <v>2.7875732134931202</v>
      </c>
    </row>
    <row r="40" spans="1:17" x14ac:dyDescent="0.35">
      <c r="A40" s="31">
        <v>3</v>
      </c>
      <c r="B40" s="32">
        <v>43654</v>
      </c>
      <c r="C40" s="33">
        <v>0.49652777777777773</v>
      </c>
      <c r="D40" s="34">
        <f>D39+3*24-3-5/60</f>
        <v>123.08333333333333</v>
      </c>
      <c r="E40" s="31">
        <v>9.14</v>
      </c>
      <c r="F40" s="31">
        <v>3.589</v>
      </c>
      <c r="G40" s="31">
        <v>6.4000000000000001E-2</v>
      </c>
      <c r="H40" s="31">
        <v>0.50600000000000001</v>
      </c>
      <c r="I40" s="31">
        <v>5.0140000000000002</v>
      </c>
      <c r="J40" s="31">
        <f t="shared" si="11"/>
        <v>10.085792446617189</v>
      </c>
      <c r="K40" s="31">
        <v>0.30399999999999999</v>
      </c>
      <c r="L40" s="31">
        <v>9.94</v>
      </c>
      <c r="M40" s="31">
        <f t="shared" si="12"/>
        <v>32.69736842105263</v>
      </c>
      <c r="N40" s="35">
        <v>2.8363100000000001</v>
      </c>
      <c r="O40" s="31">
        <f t="shared" si="13"/>
        <v>1.1769773287086938</v>
      </c>
      <c r="P40" s="35">
        <v>5.0936000000000003</v>
      </c>
      <c r="Q40" s="31">
        <f t="shared" si="14"/>
        <v>2.7720924731936365</v>
      </c>
    </row>
    <row r="41" spans="1:17" x14ac:dyDescent="0.35">
      <c r="A41" s="35">
        <v>4</v>
      </c>
      <c r="B41" s="38">
        <v>43657</v>
      </c>
      <c r="C41" s="36">
        <v>0.56944444444444442</v>
      </c>
      <c r="D41" s="37">
        <f>D40+3*24+2-15/60</f>
        <v>196.83333333333331</v>
      </c>
      <c r="E41" s="35">
        <v>9.18</v>
      </c>
      <c r="F41" s="35">
        <v>5.0220000000000002</v>
      </c>
      <c r="G41" s="35">
        <v>5.8999999999999997E-2</v>
      </c>
      <c r="H41" s="35">
        <v>0.505</v>
      </c>
      <c r="I41" s="35">
        <v>5.0250000000000004</v>
      </c>
      <c r="J41" s="31">
        <f t="shared" si="11"/>
        <v>10.067396524598697</v>
      </c>
      <c r="K41" s="35">
        <v>0.30199999999999999</v>
      </c>
      <c r="L41" s="35">
        <v>9.9830000000000005</v>
      </c>
      <c r="M41" s="31">
        <f t="shared" si="12"/>
        <v>33.056291390728482</v>
      </c>
      <c r="N41" s="35">
        <v>2.8796300000000001</v>
      </c>
      <c r="O41" s="31">
        <f t="shared" si="13"/>
        <v>1.1927742050660419</v>
      </c>
      <c r="P41" s="35">
        <v>5.1356999999999999</v>
      </c>
      <c r="Q41" s="31">
        <f t="shared" si="14"/>
        <v>2.8256856806818287</v>
      </c>
    </row>
    <row r="42" spans="1:17" x14ac:dyDescent="0.35">
      <c r="A42" s="31">
        <v>5</v>
      </c>
      <c r="B42" s="32">
        <v>43660</v>
      </c>
      <c r="C42" s="33">
        <v>0.52430555555555558</v>
      </c>
      <c r="D42" s="34">
        <f>D41+3*24-1-5/60</f>
        <v>267.75</v>
      </c>
      <c r="E42" s="31">
        <v>8.91</v>
      </c>
      <c r="F42" s="31">
        <v>4.1989999999999998</v>
      </c>
      <c r="G42" s="31">
        <v>7.2999999999999995E-2</v>
      </c>
      <c r="H42" s="31">
        <v>0.50800000000000001</v>
      </c>
      <c r="I42" s="31">
        <v>4.99</v>
      </c>
      <c r="J42" s="31">
        <f>((F42+G42)/F42)*(I42/H42)</f>
        <v>9.9936055266252009</v>
      </c>
      <c r="K42" s="31">
        <v>0.30499999999999999</v>
      </c>
      <c r="L42" s="35">
        <v>10.087999999999999</v>
      </c>
      <c r="M42" s="35">
        <f t="shared" si="12"/>
        <v>33.075409836065575</v>
      </c>
      <c r="N42" s="35">
        <v>2.8581400000000001</v>
      </c>
      <c r="O42" s="31">
        <f t="shared" si="13"/>
        <v>1.1751953795461243</v>
      </c>
      <c r="P42" s="35">
        <v>5.2279</v>
      </c>
      <c r="Q42" s="31">
        <f t="shared" si="14"/>
        <v>2.8780781471698935</v>
      </c>
    </row>
    <row r="43" spans="1:17" x14ac:dyDescent="0.35">
      <c r="A43" s="31">
        <v>6</v>
      </c>
      <c r="B43" s="32">
        <v>43663</v>
      </c>
      <c r="C43" s="33">
        <v>0.42708333333333331</v>
      </c>
      <c r="D43" s="34">
        <f>D42+3*24-2-2/60</f>
        <v>337.71666666666664</v>
      </c>
      <c r="E43" s="31">
        <v>8.98</v>
      </c>
      <c r="F43" s="31">
        <v>3.3940000000000001</v>
      </c>
      <c r="G43" s="31">
        <v>2.8000000000000001E-2</v>
      </c>
      <c r="H43" s="31">
        <v>0.504</v>
      </c>
      <c r="I43" s="31">
        <v>4.9980000000000002</v>
      </c>
      <c r="J43" s="31">
        <f>((F43+G43)/F43)*(I43/H43)</f>
        <v>9.9984777057552545</v>
      </c>
      <c r="K43" s="31">
        <v>0.30099999999999999</v>
      </c>
      <c r="L43" s="35">
        <v>10.055999999999999</v>
      </c>
      <c r="M43" s="35">
        <f t="shared" si="12"/>
        <v>33.408637873754152</v>
      </c>
      <c r="N43" s="35">
        <v>3.0348600000000001</v>
      </c>
      <c r="O43" s="31">
        <f t="shared" si="13"/>
        <v>1.248466572725299</v>
      </c>
      <c r="P43" s="35">
        <v>5.0507999999999997</v>
      </c>
      <c r="Q43" s="31">
        <f t="shared" si="14"/>
        <v>2.8085943437542853</v>
      </c>
    </row>
    <row r="46" spans="1:17" ht="18.5" x14ac:dyDescent="0.45">
      <c r="A46" s="1" t="s">
        <v>53</v>
      </c>
    </row>
    <row r="47" spans="1:17" x14ac:dyDescent="0.35">
      <c r="A47" s="2" t="s">
        <v>0</v>
      </c>
      <c r="C47" s="3"/>
    </row>
    <row r="48" spans="1:17" x14ac:dyDescent="0.35">
      <c r="A48" s="2" t="s">
        <v>1</v>
      </c>
    </row>
    <row r="49" spans="1:25" x14ac:dyDescent="0.35">
      <c r="A49" s="2" t="s">
        <v>2</v>
      </c>
    </row>
    <row r="50" spans="1:25" x14ac:dyDescent="0.35">
      <c r="A50" s="2" t="s">
        <v>3</v>
      </c>
      <c r="C50">
        <f>9.192+1.011-9.243</f>
        <v>0.95999999999999908</v>
      </c>
    </row>
    <row r="51" spans="1:25" x14ac:dyDescent="0.35">
      <c r="A51" s="2" t="s">
        <v>4</v>
      </c>
      <c r="C51">
        <f>AVERAGE(G66:G68)/(180*60)</f>
        <v>5.0703703703703707E-4</v>
      </c>
    </row>
    <row r="52" spans="1:25" ht="15" thickBot="1" x14ac:dyDescent="0.4">
      <c r="A52" s="2" t="s">
        <v>5</v>
      </c>
      <c r="C52">
        <v>2140000</v>
      </c>
    </row>
    <row r="53" spans="1:25" x14ac:dyDescent="0.35">
      <c r="A53" s="4" t="s">
        <v>6</v>
      </c>
      <c r="B53" s="5"/>
      <c r="C53" s="6">
        <f>AVERAGE(V73:V75)</f>
        <v>-16.940784742061993</v>
      </c>
    </row>
    <row r="54" spans="1:25" ht="15" thickBot="1" x14ac:dyDescent="0.4">
      <c r="A54" s="7" t="s">
        <v>7</v>
      </c>
      <c r="B54" s="8"/>
      <c r="C54" s="9">
        <f>AVERAGE(X68:X71)</f>
        <v>-16.936490612742698</v>
      </c>
    </row>
    <row r="55" spans="1:25" x14ac:dyDescent="0.35">
      <c r="A55" s="2"/>
    </row>
    <row r="56" spans="1:25" ht="15" thickBot="1" x14ac:dyDescent="0.4"/>
    <row r="57" spans="1:25" x14ac:dyDescent="0.35">
      <c r="A57" s="11" t="s">
        <v>8</v>
      </c>
      <c r="B57" s="12"/>
      <c r="C57" s="12"/>
      <c r="D57" s="12"/>
      <c r="E57" s="13" t="s">
        <v>9</v>
      </c>
      <c r="F57" s="13"/>
      <c r="G57" s="13"/>
      <c r="H57" s="14"/>
      <c r="I57" s="14"/>
      <c r="J57" s="14"/>
      <c r="K57" s="15" t="s">
        <v>10</v>
      </c>
      <c r="L57" s="15"/>
      <c r="M57" s="15"/>
      <c r="N57" s="16" t="s">
        <v>10</v>
      </c>
      <c r="O57" s="16"/>
      <c r="P57" s="16"/>
      <c r="Q57" s="17" t="s">
        <v>11</v>
      </c>
      <c r="R57" s="18"/>
      <c r="S57" s="18"/>
      <c r="T57" s="18"/>
      <c r="U57" s="19" t="s">
        <v>12</v>
      </c>
      <c r="V57" s="20"/>
      <c r="W57" s="20"/>
      <c r="X57" s="20"/>
      <c r="Y57" s="21"/>
    </row>
    <row r="58" spans="1:25" ht="15" thickBot="1" x14ac:dyDescent="0.4">
      <c r="A58" s="22" t="s">
        <v>13</v>
      </c>
      <c r="B58" s="23" t="s">
        <v>14</v>
      </c>
      <c r="C58" s="23" t="s">
        <v>15</v>
      </c>
      <c r="D58" s="23" t="s">
        <v>16</v>
      </c>
      <c r="E58" s="24" t="s">
        <v>17</v>
      </c>
      <c r="F58" s="24" t="s">
        <v>18</v>
      </c>
      <c r="G58" s="24" t="s">
        <v>19</v>
      </c>
      <c r="H58" s="24" t="s">
        <v>20</v>
      </c>
      <c r="I58" s="24" t="s">
        <v>21</v>
      </c>
      <c r="J58" s="24" t="s">
        <v>22</v>
      </c>
      <c r="K58" s="25" t="s">
        <v>21</v>
      </c>
      <c r="L58" s="25" t="s">
        <v>23</v>
      </c>
      <c r="M58" s="25" t="s">
        <v>24</v>
      </c>
      <c r="N58" s="26" t="s">
        <v>25</v>
      </c>
      <c r="O58" s="26" t="s">
        <v>26</v>
      </c>
      <c r="P58" s="26" t="s">
        <v>27</v>
      </c>
      <c r="Q58" s="27" t="s">
        <v>28</v>
      </c>
      <c r="R58" s="27" t="s">
        <v>29</v>
      </c>
      <c r="S58" s="27" t="s">
        <v>30</v>
      </c>
      <c r="T58" s="27" t="s">
        <v>31</v>
      </c>
      <c r="U58" s="29" t="s">
        <v>32</v>
      </c>
      <c r="V58" s="29" t="s">
        <v>33</v>
      </c>
      <c r="W58" s="29" t="s">
        <v>34</v>
      </c>
      <c r="X58" s="29" t="s">
        <v>35</v>
      </c>
      <c r="Y58" s="30" t="s">
        <v>36</v>
      </c>
    </row>
    <row r="59" spans="1:25" x14ac:dyDescent="0.35">
      <c r="A59" s="35">
        <v>1</v>
      </c>
      <c r="B59" s="38">
        <v>43649</v>
      </c>
      <c r="C59" s="33">
        <v>0.4513888888888889</v>
      </c>
      <c r="D59" s="37">
        <f>2</f>
        <v>2</v>
      </c>
      <c r="E59" s="35">
        <v>6.633</v>
      </c>
      <c r="F59" s="35">
        <v>12.989000000000001</v>
      </c>
      <c r="G59" s="31">
        <f t="shared" ref="G59:G75" si="15">F59-E59</f>
        <v>6.3560000000000008</v>
      </c>
      <c r="H59" s="35">
        <v>8.9700000000000006</v>
      </c>
      <c r="I59" s="35">
        <v>2.65</v>
      </c>
      <c r="J59" s="35">
        <v>2.8000000000000001E-2</v>
      </c>
      <c r="K59" s="35">
        <v>0.50900000000000001</v>
      </c>
      <c r="L59" s="35">
        <v>5.0149999999999997</v>
      </c>
      <c r="M59" s="31">
        <f t="shared" ref="M59:M75" si="16">((I59+J59)/I59)*(L59/K59)</f>
        <v>9.9567557549023231</v>
      </c>
      <c r="N59" s="35">
        <v>0.30099999999999999</v>
      </c>
      <c r="O59" s="35">
        <v>10.039</v>
      </c>
      <c r="P59" s="31">
        <f>O59/N59</f>
        <v>33.352159468438536</v>
      </c>
      <c r="Q59" s="31">
        <v>2.6670699999999998</v>
      </c>
      <c r="R59" s="31">
        <f t="shared" ref="R59:R75" si="17">Q59/24.305*M59</f>
        <v>1.0925885443829393</v>
      </c>
      <c r="S59" s="31">
        <v>4.9321999999999999</v>
      </c>
      <c r="T59" s="31">
        <f>S59/60.08*P59</f>
        <v>2.7380080048307684</v>
      </c>
      <c r="U59" s="31">
        <f t="shared" ref="U59:U75" si="18">((($O$38-R59)*10^(-6))*$C$6)/($C$7*$C$5*4)</f>
        <v>4.7006875353733978E-19</v>
      </c>
      <c r="V59" s="31">
        <f t="shared" ref="V59:V75" si="19">LOG(U59)</f>
        <v>-18.3278386163236</v>
      </c>
      <c r="W59" s="31">
        <f t="shared" ref="W59:W75" si="20">((($Q$38-T59)*10^(-6))*$C$6)/($C$7*$C$5*6)</f>
        <v>-1.3362064921107641E-19</v>
      </c>
      <c r="X59" s="31" t="e">
        <f t="shared" ref="X59:X75" si="21">LOG(W59)</f>
        <v>#NUM!</v>
      </c>
      <c r="Y59" s="31">
        <f t="shared" ref="Y59:Y75" si="22">($Q$38-T59)/($O$38-R59)</f>
        <v>-0.42638650688509006</v>
      </c>
    </row>
    <row r="60" spans="1:25" x14ac:dyDescent="0.35">
      <c r="A60" s="35">
        <v>2</v>
      </c>
      <c r="B60" s="32">
        <v>43649</v>
      </c>
      <c r="C60" s="33">
        <v>0.71875</v>
      </c>
      <c r="D60" s="37">
        <f>D59+7-35/60</f>
        <v>8.4166666666666661</v>
      </c>
      <c r="E60" s="35">
        <v>6.7080000000000002</v>
      </c>
      <c r="F60" s="35">
        <v>12.477</v>
      </c>
      <c r="G60" s="31">
        <f t="shared" si="15"/>
        <v>5.7690000000000001</v>
      </c>
      <c r="H60" s="35">
        <v>8.51</v>
      </c>
      <c r="I60" s="35">
        <v>2.5419999999999998</v>
      </c>
      <c r="J60" s="35">
        <v>3.9E-2</v>
      </c>
      <c r="K60" s="35">
        <v>0.50900000000000001</v>
      </c>
      <c r="L60" s="35">
        <v>5.0209999999999999</v>
      </c>
      <c r="M60" s="31">
        <f t="shared" si="16"/>
        <v>10.015782786321431</v>
      </c>
      <c r="N60" s="35">
        <v>0.30199999999999999</v>
      </c>
      <c r="O60" s="35">
        <v>10.048</v>
      </c>
      <c r="P60" s="31">
        <f t="shared" ref="P60:P75" si="23">O60/N60</f>
        <v>33.271523178807946</v>
      </c>
      <c r="Q60" s="35">
        <v>2.4026800000000001</v>
      </c>
      <c r="R60" s="31">
        <f t="shared" si="17"/>
        <v>0.99011400884751199</v>
      </c>
      <c r="S60" s="35">
        <v>4.6870000000000003</v>
      </c>
      <c r="T60" s="31">
        <f t="shared" ref="T60:T69" si="24">S60/60.08*P60</f>
        <v>2.5955996860697876</v>
      </c>
      <c r="U60" s="31">
        <f t="shared" si="18"/>
        <v>6.6138144669144249E-18</v>
      </c>
      <c r="V60" s="31">
        <f t="shared" si="19"/>
        <v>-17.179547992235356</v>
      </c>
      <c r="W60" s="31">
        <f t="shared" si="20"/>
        <v>5.5583332485097727E-18</v>
      </c>
      <c r="X60" s="31">
        <f t="shared" si="21"/>
        <v>-17.255055418758676</v>
      </c>
      <c r="Y60" s="31">
        <f t="shared" si="22"/>
        <v>1.2606189536269818</v>
      </c>
    </row>
    <row r="61" spans="1:25" x14ac:dyDescent="0.35">
      <c r="A61" s="31">
        <v>3</v>
      </c>
      <c r="B61" s="38">
        <v>43650</v>
      </c>
      <c r="C61" s="36">
        <v>0.38194444444444442</v>
      </c>
      <c r="D61" s="37">
        <f>D59+24-1-40/60</f>
        <v>24.333333333333332</v>
      </c>
      <c r="E61" s="35">
        <v>6.6269999999999998</v>
      </c>
      <c r="F61" s="35">
        <v>12.26</v>
      </c>
      <c r="G61" s="31">
        <f t="shared" si="15"/>
        <v>5.633</v>
      </c>
      <c r="H61" s="35">
        <v>8.5</v>
      </c>
      <c r="I61" s="35">
        <v>2.44</v>
      </c>
      <c r="J61" s="35">
        <v>3.2000000000000001E-2</v>
      </c>
      <c r="K61" s="35">
        <v>0.50900000000000001</v>
      </c>
      <c r="L61" s="35">
        <v>5.0170000000000003</v>
      </c>
      <c r="M61" s="31">
        <f t="shared" si="16"/>
        <v>9.9858481754645894</v>
      </c>
      <c r="N61" s="35">
        <v>0.30499999999999999</v>
      </c>
      <c r="O61" s="35">
        <v>10.026999999999999</v>
      </c>
      <c r="P61" s="31">
        <f t="shared" si="23"/>
        <v>32.875409836065572</v>
      </c>
      <c r="Q61" s="35">
        <v>2.22573</v>
      </c>
      <c r="R61" s="31">
        <f t="shared" si="17"/>
        <v>0.91445389259727627</v>
      </c>
      <c r="S61" s="35">
        <v>4.5271999999999997</v>
      </c>
      <c r="T61" s="31">
        <f t="shared" si="24"/>
        <v>2.4772562484992684</v>
      </c>
      <c r="U61" s="31">
        <f t="shared" si="18"/>
        <v>1.114993178091089E-17</v>
      </c>
      <c r="V61" s="31">
        <f t="shared" si="19"/>
        <v>-16.952727789769597</v>
      </c>
      <c r="W61" s="31">
        <f t="shared" si="20"/>
        <v>1.028843185939068E-17</v>
      </c>
      <c r="X61" s="31">
        <f t="shared" si="21"/>
        <v>-16.987650814422384</v>
      </c>
      <c r="Y61" s="31">
        <f t="shared" si="22"/>
        <v>1.3841024404747753</v>
      </c>
    </row>
    <row r="62" spans="1:25" x14ac:dyDescent="0.35">
      <c r="A62" s="35">
        <v>4</v>
      </c>
      <c r="B62" s="32">
        <v>43650</v>
      </c>
      <c r="C62" s="36">
        <v>0.67361111111111116</v>
      </c>
      <c r="D62" s="37">
        <f>D61+7</f>
        <v>31.333333333333332</v>
      </c>
      <c r="E62" s="35">
        <v>6.7469999999999999</v>
      </c>
      <c r="F62" s="35">
        <v>12.417999999999999</v>
      </c>
      <c r="G62" s="31">
        <f t="shared" si="15"/>
        <v>5.6709999999999994</v>
      </c>
      <c r="H62" s="35">
        <v>7.78</v>
      </c>
      <c r="I62" s="35">
        <v>2.206</v>
      </c>
      <c r="J62" s="35">
        <v>2.1000000000000001E-2</v>
      </c>
      <c r="K62" s="35">
        <v>0.50800000000000001</v>
      </c>
      <c r="L62" s="35">
        <v>5.008</v>
      </c>
      <c r="M62" s="31">
        <f t="shared" si="16"/>
        <v>9.95211342009266</v>
      </c>
      <c r="N62" s="35">
        <v>0.30299999999999999</v>
      </c>
      <c r="O62" s="35">
        <v>10.045</v>
      </c>
      <c r="P62" s="31">
        <f t="shared" si="23"/>
        <v>33.151815181518153</v>
      </c>
      <c r="Q62" s="35">
        <v>2.1960899999999999</v>
      </c>
      <c r="R62" s="31">
        <f t="shared" si="17"/>
        <v>0.8992280090817234</v>
      </c>
      <c r="S62" s="35">
        <v>4.4360999999999997</v>
      </c>
      <c r="T62" s="31">
        <f t="shared" si="24"/>
        <v>2.4478157011773081</v>
      </c>
      <c r="U62" s="31">
        <f t="shared" si="18"/>
        <v>1.2062782530536556E-17</v>
      </c>
      <c r="V62" s="31">
        <f t="shared" si="19"/>
        <v>-16.918552501626095</v>
      </c>
      <c r="W62" s="31">
        <f t="shared" si="20"/>
        <v>1.1465148497423076E-17</v>
      </c>
      <c r="X62" s="31">
        <f t="shared" si="21"/>
        <v>-16.940620315884434</v>
      </c>
      <c r="Y62" s="31">
        <f t="shared" si="22"/>
        <v>1.4256845551678576</v>
      </c>
    </row>
    <row r="63" spans="1:25" x14ac:dyDescent="0.35">
      <c r="A63" s="35">
        <v>5</v>
      </c>
      <c r="B63" s="32">
        <v>43651</v>
      </c>
      <c r="C63" s="36">
        <v>0.49305555555555558</v>
      </c>
      <c r="D63" s="37">
        <f>D61+26+4/6</f>
        <v>50.999999999999993</v>
      </c>
      <c r="E63" s="35">
        <v>6.6459999999999999</v>
      </c>
      <c r="F63" s="35">
        <v>12.071999999999999</v>
      </c>
      <c r="G63" s="31">
        <f t="shared" si="15"/>
        <v>5.4259999999999993</v>
      </c>
      <c r="H63" s="35">
        <v>7.78</v>
      </c>
      <c r="I63" s="35">
        <v>2.1909999999999998</v>
      </c>
      <c r="J63" s="35">
        <v>2.5000000000000001E-2</v>
      </c>
      <c r="K63" s="35">
        <v>0.50800000000000001</v>
      </c>
      <c r="L63" s="35">
        <v>5.0110000000000001</v>
      </c>
      <c r="M63" s="31">
        <f t="shared" si="16"/>
        <v>9.9767265513536039</v>
      </c>
      <c r="N63" s="35">
        <v>0.30299999999999999</v>
      </c>
      <c r="O63" s="35">
        <v>10.08</v>
      </c>
      <c r="P63" s="31">
        <f t="shared" si="23"/>
        <v>33.267326732673268</v>
      </c>
      <c r="Q63" s="35">
        <v>2.1444999999999999</v>
      </c>
      <c r="R63" s="31">
        <f t="shared" si="17"/>
        <v>0.88027525568310228</v>
      </c>
      <c r="S63" s="35">
        <v>4.3638000000000003</v>
      </c>
      <c r="T63" s="31">
        <f t="shared" si="24"/>
        <v>2.416310925366838</v>
      </c>
      <c r="U63" s="31">
        <f t="shared" si="18"/>
        <v>1.3199073579245098E-17</v>
      </c>
      <c r="V63" s="31">
        <f t="shared" si="19"/>
        <v>-16.879456550123031</v>
      </c>
      <c r="W63" s="31">
        <f t="shared" si="20"/>
        <v>1.2724370802913565E-17</v>
      </c>
      <c r="X63" s="31">
        <f t="shared" si="21"/>
        <v>-16.895363683535688</v>
      </c>
      <c r="Y63" s="31">
        <f t="shared" si="22"/>
        <v>1.4460527164863319</v>
      </c>
    </row>
    <row r="64" spans="1:25" x14ac:dyDescent="0.35">
      <c r="A64" s="31">
        <v>6</v>
      </c>
      <c r="B64" s="32">
        <v>43652</v>
      </c>
      <c r="C64" s="36">
        <v>0.38194444444444442</v>
      </c>
      <c r="D64" s="37">
        <f>D61+2*24</f>
        <v>72.333333333333329</v>
      </c>
      <c r="E64" s="35">
        <v>6.6749999999999998</v>
      </c>
      <c r="F64" s="35">
        <v>12.093999999999999</v>
      </c>
      <c r="G64" s="31">
        <f t="shared" si="15"/>
        <v>5.4189999999999996</v>
      </c>
      <c r="H64" s="35">
        <v>7.78</v>
      </c>
      <c r="I64" s="35">
        <v>2.0579999999999998</v>
      </c>
      <c r="J64" s="35">
        <v>2.8000000000000001E-2</v>
      </c>
      <c r="K64" s="35">
        <v>0.50700000000000001</v>
      </c>
      <c r="L64" s="35">
        <v>5.0199999999999996</v>
      </c>
      <c r="M64" s="31">
        <f t="shared" si="16"/>
        <v>10.036093332796629</v>
      </c>
      <c r="N64" s="35">
        <v>0.30299999999999999</v>
      </c>
      <c r="O64" s="35">
        <v>10.036</v>
      </c>
      <c r="P64" s="31">
        <f t="shared" si="23"/>
        <v>33.122112211221122</v>
      </c>
      <c r="Q64" s="35">
        <v>2.16045</v>
      </c>
      <c r="R64" s="31">
        <f t="shared" si="17"/>
        <v>0.89209947915410315</v>
      </c>
      <c r="S64" s="35">
        <v>4.4005999999999998</v>
      </c>
      <c r="T64" s="31">
        <f t="shared" si="24"/>
        <v>2.4260513814364124</v>
      </c>
      <c r="U64" s="31">
        <f t="shared" si="18"/>
        <v>1.249016553799948E-17</v>
      </c>
      <c r="V64" s="31">
        <f t="shared" si="19"/>
        <v>-16.903431805680043</v>
      </c>
      <c r="W64" s="31">
        <f t="shared" si="20"/>
        <v>1.2335052065264204E-17</v>
      </c>
      <c r="X64" s="31">
        <f t="shared" si="21"/>
        <v>-16.908859013048243</v>
      </c>
      <c r="Y64" s="31">
        <f t="shared" si="22"/>
        <v>1.4813717273486049</v>
      </c>
    </row>
    <row r="65" spans="1:25" x14ac:dyDescent="0.35">
      <c r="A65" s="35">
        <v>7</v>
      </c>
      <c r="B65" s="32">
        <v>43653</v>
      </c>
      <c r="C65" s="36">
        <v>0.3923611111111111</v>
      </c>
      <c r="D65" s="37">
        <f>D64+24+15/60</f>
        <v>96.583333333333329</v>
      </c>
      <c r="E65" s="35">
        <v>6.6909999999999998</v>
      </c>
      <c r="F65" s="35">
        <v>12.242000000000001</v>
      </c>
      <c r="G65" s="31">
        <f t="shared" si="15"/>
        <v>5.551000000000001</v>
      </c>
      <c r="H65" s="35">
        <v>7.54</v>
      </c>
      <c r="I65" s="35">
        <v>2.4060000000000001</v>
      </c>
      <c r="J65" s="35">
        <v>3.9E-2</v>
      </c>
      <c r="K65" s="35">
        <v>0.50600000000000001</v>
      </c>
      <c r="L65" s="35">
        <v>5.0110000000000001</v>
      </c>
      <c r="M65" s="31">
        <f t="shared" si="16"/>
        <v>10.063687126058374</v>
      </c>
      <c r="N65" s="35">
        <v>0.30099999999999999</v>
      </c>
      <c r="O65" s="35">
        <v>10.029999999999999</v>
      </c>
      <c r="P65" s="31">
        <f t="shared" si="23"/>
        <v>33.322259136212622</v>
      </c>
      <c r="Q65" s="35">
        <v>2.1876799999999998</v>
      </c>
      <c r="R65" s="31">
        <f t="shared" si="17"/>
        <v>0.90582707475562152</v>
      </c>
      <c r="S65" s="35">
        <v>4.4257999999999997</v>
      </c>
      <c r="T65" s="31">
        <f t="shared" si="24"/>
        <v>2.454687990763146</v>
      </c>
      <c r="U65" s="31">
        <f t="shared" si="18"/>
        <v>1.1667142957890832E-17</v>
      </c>
      <c r="V65" s="31">
        <f t="shared" si="19"/>
        <v>-16.933035480675539</v>
      </c>
      <c r="W65" s="31">
        <f t="shared" si="20"/>
        <v>1.119046822709399E-17</v>
      </c>
      <c r="X65" s="31">
        <f t="shared" si="21"/>
        <v>-16.951151741515535</v>
      </c>
      <c r="Y65" s="31">
        <f t="shared" si="22"/>
        <v>1.438715750824697</v>
      </c>
    </row>
    <row r="66" spans="1:25" x14ac:dyDescent="0.35">
      <c r="A66" s="35">
        <v>8</v>
      </c>
      <c r="B66" s="32">
        <v>43654</v>
      </c>
      <c r="C66" s="36">
        <v>0.44097222222222227</v>
      </c>
      <c r="D66" s="37">
        <f>D65+24+1+1/60</f>
        <v>121.6</v>
      </c>
      <c r="E66" s="35">
        <v>6.6950000000000003</v>
      </c>
      <c r="F66" s="35">
        <v>11.989000000000001</v>
      </c>
      <c r="G66" s="31">
        <f t="shared" si="15"/>
        <v>5.2940000000000005</v>
      </c>
      <c r="H66" s="35">
        <v>7.51</v>
      </c>
      <c r="I66" s="35">
        <v>2.16</v>
      </c>
      <c r="J66" s="35">
        <v>3.4000000000000002E-2</v>
      </c>
      <c r="K66" s="35">
        <v>0.505</v>
      </c>
      <c r="L66" s="35">
        <v>5.0179999999999998</v>
      </c>
      <c r="M66" s="31">
        <f t="shared" si="16"/>
        <v>10.093043637697102</v>
      </c>
      <c r="N66" s="35">
        <v>0.30199999999999999</v>
      </c>
      <c r="O66" s="35">
        <v>10.029</v>
      </c>
      <c r="P66" s="31">
        <f t="shared" si="23"/>
        <v>33.20860927152318</v>
      </c>
      <c r="Q66" s="35">
        <v>2.1554500000000001</v>
      </c>
      <c r="R66" s="31">
        <f t="shared" si="17"/>
        <v>0.89508541077449988</v>
      </c>
      <c r="S66" s="35">
        <v>4.3971999999999998</v>
      </c>
      <c r="T66" s="31">
        <f t="shared" si="24"/>
        <v>2.4305076013439035</v>
      </c>
      <c r="U66" s="31">
        <f t="shared" si="18"/>
        <v>1.2311147360484468E-17</v>
      </c>
      <c r="V66" s="31">
        <f t="shared" si="19"/>
        <v>-16.909701470293154</v>
      </c>
      <c r="W66" s="31">
        <f t="shared" si="20"/>
        <v>1.2156940291371854E-17</v>
      </c>
      <c r="X66" s="31">
        <f t="shared" si="21"/>
        <v>-16.9151757163281</v>
      </c>
      <c r="Y66" s="31">
        <f t="shared" si="22"/>
        <v>1.4812112878762735</v>
      </c>
    </row>
    <row r="67" spans="1:25" x14ac:dyDescent="0.35">
      <c r="A67" s="31">
        <v>9</v>
      </c>
      <c r="B67" s="32">
        <v>43655</v>
      </c>
      <c r="C67" s="36">
        <v>0.375</v>
      </c>
      <c r="D67" s="37">
        <f>D66+23-35/60</f>
        <v>144.01666666666665</v>
      </c>
      <c r="E67" s="35">
        <v>6.6509999999999998</v>
      </c>
      <c r="F67" s="35">
        <v>12.356</v>
      </c>
      <c r="G67" s="31">
        <f t="shared" si="15"/>
        <v>5.7050000000000001</v>
      </c>
      <c r="H67" s="35">
        <v>7.53</v>
      </c>
      <c r="I67" s="35">
        <v>2.452</v>
      </c>
      <c r="J67" s="35">
        <v>4.2999999999999997E-2</v>
      </c>
      <c r="K67" s="35">
        <v>0.50600000000000001</v>
      </c>
      <c r="L67" s="35">
        <v>5.0309999999999997</v>
      </c>
      <c r="M67" s="31">
        <f t="shared" si="16"/>
        <v>10.117049726286197</v>
      </c>
      <c r="N67" s="35">
        <v>0.30199999999999999</v>
      </c>
      <c r="O67" s="35">
        <v>10.02</v>
      </c>
      <c r="P67" s="31">
        <f t="shared" si="23"/>
        <v>33.17880794701987</v>
      </c>
      <c r="Q67" s="35">
        <v>2.15768</v>
      </c>
      <c r="R67" s="31">
        <f t="shared" si="17"/>
        <v>0.89814259837124888</v>
      </c>
      <c r="S67" s="35">
        <v>4.4010999999999996</v>
      </c>
      <c r="T67" s="31">
        <f t="shared" si="24"/>
        <v>2.4304802206329752</v>
      </c>
      <c r="U67" s="31">
        <f t="shared" si="18"/>
        <v>1.2127857110917807E-17</v>
      </c>
      <c r="V67" s="31">
        <f t="shared" si="19"/>
        <v>-16.916215928491827</v>
      </c>
      <c r="W67" s="31">
        <f t="shared" si="20"/>
        <v>1.2158034677891176E-17</v>
      </c>
      <c r="X67" s="31">
        <f t="shared" si="21"/>
        <v>-16.915136622228491</v>
      </c>
      <c r="Y67" s="31">
        <f t="shared" si="22"/>
        <v>1.503732427752575</v>
      </c>
    </row>
    <row r="68" spans="1:25" x14ac:dyDescent="0.35">
      <c r="A68" s="35">
        <v>10</v>
      </c>
      <c r="B68" s="32">
        <v>43656</v>
      </c>
      <c r="C68" s="36">
        <v>0.51041666666666663</v>
      </c>
      <c r="D68" s="37">
        <f>D67+24+3+15/60</f>
        <v>171.26666666666665</v>
      </c>
      <c r="E68" s="35">
        <v>6.6660000000000004</v>
      </c>
      <c r="F68" s="35">
        <v>12.095000000000001</v>
      </c>
      <c r="G68" s="31">
        <f t="shared" si="15"/>
        <v>5.4290000000000003</v>
      </c>
      <c r="H68" s="35">
        <v>7.16</v>
      </c>
      <c r="I68" s="35">
        <v>2.302</v>
      </c>
      <c r="J68" s="35">
        <v>3.1E-2</v>
      </c>
      <c r="K68" s="35">
        <v>0.50700000000000001</v>
      </c>
      <c r="L68" s="35">
        <v>4.992</v>
      </c>
      <c r="M68" s="31">
        <f t="shared" si="16"/>
        <v>9.978747577357483</v>
      </c>
      <c r="N68" s="35">
        <v>0.30199999999999999</v>
      </c>
      <c r="O68" s="35">
        <v>9.9990000000000006</v>
      </c>
      <c r="P68" s="31">
        <f t="shared" si="23"/>
        <v>33.109271523178812</v>
      </c>
      <c r="Q68" s="35">
        <v>2.2190099999999999</v>
      </c>
      <c r="R68" s="31">
        <f t="shared" si="17"/>
        <v>0.91104466824242036</v>
      </c>
      <c r="S68" s="35">
        <v>4.4607999999999999</v>
      </c>
      <c r="T68" s="31">
        <f t="shared" si="24"/>
        <v>2.4582862584986027</v>
      </c>
      <c r="U68" s="31">
        <f t="shared" si="18"/>
        <v>1.135432799902154E-17</v>
      </c>
      <c r="V68" s="31">
        <f t="shared" si="19"/>
        <v>-16.944838564214216</v>
      </c>
      <c r="W68" s="31">
        <f t="shared" si="20"/>
        <v>1.1046648159277225E-17</v>
      </c>
      <c r="X68" s="31">
        <f t="shared" si="21"/>
        <v>-16.956769478246226</v>
      </c>
      <c r="Y68" s="31">
        <f t="shared" si="22"/>
        <v>1.4593529657011632</v>
      </c>
    </row>
    <row r="69" spans="1:25" x14ac:dyDescent="0.35">
      <c r="A69" s="35">
        <v>11</v>
      </c>
      <c r="B69" s="32">
        <v>43657</v>
      </c>
      <c r="C69" s="36">
        <v>0.375</v>
      </c>
      <c r="D69" s="37">
        <f>D67+2*24</f>
        <v>192.01666666666665</v>
      </c>
      <c r="E69" s="35">
        <v>6.766</v>
      </c>
      <c r="F69" s="35">
        <v>13.340999999999999</v>
      </c>
      <c r="G69" s="31">
        <f t="shared" si="15"/>
        <v>6.5749999999999993</v>
      </c>
      <c r="H69" s="35">
        <v>7.21</v>
      </c>
      <c r="I69" s="35">
        <v>2.7349999999999999</v>
      </c>
      <c r="J69" s="35">
        <v>3.7999999999999999E-2</v>
      </c>
      <c r="K69" s="35">
        <v>0.50800000000000001</v>
      </c>
      <c r="L69" s="35">
        <v>5.0359999999999996</v>
      </c>
      <c r="M69" s="31">
        <f t="shared" si="16"/>
        <v>10.051122083231368</v>
      </c>
      <c r="N69" s="35">
        <v>0.30199999999999999</v>
      </c>
      <c r="O69" s="35">
        <v>10.031000000000001</v>
      </c>
      <c r="P69" s="31">
        <f t="shared" si="23"/>
        <v>33.215231788079471</v>
      </c>
      <c r="Q69" s="35">
        <v>2.1855799999999999</v>
      </c>
      <c r="R69" s="31">
        <f t="shared" si="17"/>
        <v>0.9038276651992927</v>
      </c>
      <c r="S69" s="35">
        <v>4.3940000000000001</v>
      </c>
      <c r="T69" s="31">
        <f t="shared" si="24"/>
        <v>2.4292231770442947</v>
      </c>
      <c r="U69" s="31">
        <f t="shared" si="18"/>
        <v>1.1787015312781707E-17</v>
      </c>
      <c r="V69" s="31">
        <f t="shared" si="19"/>
        <v>-16.928596152266252</v>
      </c>
      <c r="W69" s="31">
        <f t="shared" si="20"/>
        <v>1.220827776914067E-17</v>
      </c>
      <c r="X69" s="31">
        <f t="shared" si="21"/>
        <v>-16.913345597980882</v>
      </c>
      <c r="Y69" s="31">
        <f t="shared" si="22"/>
        <v>1.553609303777965</v>
      </c>
    </row>
    <row r="70" spans="1:25" x14ac:dyDescent="0.35">
      <c r="A70" s="35">
        <v>12</v>
      </c>
      <c r="B70" s="32">
        <v>43658</v>
      </c>
      <c r="C70" s="33">
        <v>0.50347222222222221</v>
      </c>
      <c r="D70" s="37">
        <f>D68+2*24-1/6</f>
        <v>219.1</v>
      </c>
      <c r="E70" s="35">
        <v>6.6269999999999998</v>
      </c>
      <c r="F70" s="35">
        <v>11.997999999999999</v>
      </c>
      <c r="G70" s="31">
        <f t="shared" si="15"/>
        <v>5.3709999999999996</v>
      </c>
      <c r="H70" s="35">
        <v>7.26</v>
      </c>
      <c r="I70" s="35">
        <v>2.3079999999999998</v>
      </c>
      <c r="J70" s="35">
        <v>3.2000000000000001E-2</v>
      </c>
      <c r="K70" s="35">
        <v>0.50700000000000001</v>
      </c>
      <c r="L70" s="35">
        <v>5.0410000000000004</v>
      </c>
      <c r="M70" s="31">
        <f t="shared" si="16"/>
        <v>10.080655912544994</v>
      </c>
      <c r="N70" s="35">
        <v>0.30099999999999999</v>
      </c>
      <c r="O70" s="35">
        <v>10.035</v>
      </c>
      <c r="P70" s="31">
        <f t="shared" si="23"/>
        <v>33.338870431893689</v>
      </c>
      <c r="Q70" s="31">
        <v>2.19679</v>
      </c>
      <c r="R70" s="31">
        <f t="shared" si="17"/>
        <v>0.91113285752395468</v>
      </c>
      <c r="S70" s="31">
        <v>4.3673999999999999</v>
      </c>
      <c r="T70" s="31">
        <f>S70/60.08*P70</f>
        <v>2.4235050386859602</v>
      </c>
      <c r="U70" s="31">
        <f t="shared" si="18"/>
        <v>1.1349040709671448E-17</v>
      </c>
      <c r="V70" s="31">
        <f t="shared" si="19"/>
        <v>-16.945040846145144</v>
      </c>
      <c r="W70" s="31">
        <f t="shared" si="20"/>
        <v>1.2436827478873966E-17</v>
      </c>
      <c r="X70" s="31">
        <f t="shared" si="21"/>
        <v>-16.905290390074217</v>
      </c>
      <c r="Y70" s="31">
        <f t="shared" si="22"/>
        <v>1.6437725174792341</v>
      </c>
    </row>
    <row r="71" spans="1:25" x14ac:dyDescent="0.35">
      <c r="A71" s="35">
        <v>13</v>
      </c>
      <c r="B71" s="32">
        <v>43659</v>
      </c>
      <c r="C71" s="33">
        <v>0.4201388888888889</v>
      </c>
      <c r="D71" s="37">
        <f>D70+24-2</f>
        <v>241.1</v>
      </c>
      <c r="E71" s="35">
        <v>6.6929999999999996</v>
      </c>
      <c r="F71" s="35">
        <v>12.042</v>
      </c>
      <c r="G71" s="31">
        <f t="shared" si="15"/>
        <v>5.3490000000000002</v>
      </c>
      <c r="H71" s="35">
        <v>7.79</v>
      </c>
      <c r="I71" s="35">
        <v>2.1480000000000001</v>
      </c>
      <c r="J71" s="35">
        <v>2.7E-2</v>
      </c>
      <c r="K71" s="35">
        <v>0.50600000000000001</v>
      </c>
      <c r="L71" s="35">
        <v>5.0250000000000004</v>
      </c>
      <c r="M71" s="31">
        <f t="shared" si="16"/>
        <v>10.055658908737607</v>
      </c>
      <c r="N71" s="35">
        <v>0.30399999999999999</v>
      </c>
      <c r="O71" s="35">
        <v>10.116</v>
      </c>
      <c r="P71" s="31">
        <f t="shared" si="23"/>
        <v>33.276315789473685</v>
      </c>
      <c r="Q71" s="35">
        <v>2.18533</v>
      </c>
      <c r="R71" s="31">
        <f t="shared" si="17"/>
        <v>0.90413219843783399</v>
      </c>
      <c r="S71" s="35">
        <v>4.4539999999999997</v>
      </c>
      <c r="T71" s="31">
        <f t="shared" ref="T71:T75" si="25">S71/60.08*P71</f>
        <v>2.4669226119559884</v>
      </c>
      <c r="U71" s="31">
        <f t="shared" si="18"/>
        <v>1.1768757364413432E-17</v>
      </c>
      <c r="V71" s="31">
        <f t="shared" si="19"/>
        <v>-16.929269390875213</v>
      </c>
      <c r="W71" s="31">
        <f t="shared" si="20"/>
        <v>1.0701459576534613E-17</v>
      </c>
      <c r="X71" s="31">
        <f t="shared" si="21"/>
        <v>-16.970556984669468</v>
      </c>
      <c r="Y71" s="31">
        <f t="shared" si="22"/>
        <v>1.3639663787564182</v>
      </c>
    </row>
    <row r="72" spans="1:25" x14ac:dyDescent="0.35">
      <c r="A72" s="31">
        <v>14</v>
      </c>
      <c r="B72" s="32">
        <v>43660</v>
      </c>
      <c r="C72" s="36">
        <v>0.39930555555555558</v>
      </c>
      <c r="D72" s="37">
        <f>D71+23.5</f>
        <v>264.60000000000002</v>
      </c>
      <c r="E72" s="35">
        <v>6.6520000000000001</v>
      </c>
      <c r="F72" s="35">
        <v>11.88</v>
      </c>
      <c r="G72" s="31">
        <f t="shared" si="15"/>
        <v>5.2280000000000006</v>
      </c>
      <c r="H72" s="35">
        <v>7.62</v>
      </c>
      <c r="I72" s="35">
        <v>2.113</v>
      </c>
      <c r="J72" s="35">
        <v>5.7000000000000002E-2</v>
      </c>
      <c r="K72" s="35">
        <v>0.51</v>
      </c>
      <c r="L72" s="35">
        <v>4.99</v>
      </c>
      <c r="M72" s="31">
        <f t="shared" si="16"/>
        <v>10.048254038955857</v>
      </c>
      <c r="N72" s="35">
        <v>0.30499999999999999</v>
      </c>
      <c r="O72" s="35">
        <v>10.073</v>
      </c>
      <c r="P72" s="31">
        <f t="shared" si="23"/>
        <v>33.026229508196721</v>
      </c>
      <c r="Q72" s="35">
        <v>2.2138499999999999</v>
      </c>
      <c r="R72" s="31">
        <f t="shared" si="17"/>
        <v>0.91525723942161796</v>
      </c>
      <c r="S72" s="35">
        <v>4.4192</v>
      </c>
      <c r="T72" s="31">
        <f t="shared" si="25"/>
        <v>2.4292528868612342</v>
      </c>
      <c r="U72" s="31">
        <f t="shared" si="18"/>
        <v>1.1101768024104223E-17</v>
      </c>
      <c r="V72" s="31">
        <f t="shared" si="19"/>
        <v>-16.954607851666744</v>
      </c>
      <c r="W72" s="31">
        <f t="shared" si="20"/>
        <v>1.2207090289997592E-17</v>
      </c>
      <c r="X72" s="31">
        <f t="shared" si="21"/>
        <v>-16.913387843146992</v>
      </c>
      <c r="Y72" s="31">
        <f t="shared" si="22"/>
        <v>1.6493440860266786</v>
      </c>
    </row>
    <row r="73" spans="1:25" x14ac:dyDescent="0.35">
      <c r="A73" s="35">
        <v>15</v>
      </c>
      <c r="B73" s="32">
        <v>43661</v>
      </c>
      <c r="C73" s="36">
        <v>0.56597222222222221</v>
      </c>
      <c r="D73" s="37">
        <f>D72+24+4</f>
        <v>292.60000000000002</v>
      </c>
      <c r="E73" s="35">
        <v>6.6790000000000003</v>
      </c>
      <c r="F73" s="35">
        <v>12.327</v>
      </c>
      <c r="G73" s="31">
        <f t="shared" si="15"/>
        <v>5.6479999999999997</v>
      </c>
      <c r="H73" s="35">
        <v>7.59</v>
      </c>
      <c r="I73" s="35">
        <v>2.4039999999999999</v>
      </c>
      <c r="J73" s="35">
        <v>0.03</v>
      </c>
      <c r="K73" s="35">
        <v>0.50800000000000001</v>
      </c>
      <c r="L73" s="35">
        <v>5.0030000000000001</v>
      </c>
      <c r="M73" s="31">
        <f t="shared" si="16"/>
        <v>9.9713256776763135</v>
      </c>
      <c r="N73" s="35">
        <v>0.30499999999999999</v>
      </c>
      <c r="O73" s="35">
        <v>10.06</v>
      </c>
      <c r="P73" s="31">
        <f t="shared" si="23"/>
        <v>32.983606557377051</v>
      </c>
      <c r="Q73" s="35">
        <v>2.2453099999999999</v>
      </c>
      <c r="R73" s="31">
        <f t="shared" si="17"/>
        <v>0.92115685074443132</v>
      </c>
      <c r="S73" s="35">
        <v>4.4688999999999997</v>
      </c>
      <c r="T73" s="31">
        <f t="shared" si="25"/>
        <v>2.4534027853572287</v>
      </c>
      <c r="U73" s="31">
        <f t="shared" si="18"/>
        <v>1.0748063451687843E-17</v>
      </c>
      <c r="V73" s="31">
        <f t="shared" si="19"/>
        <v>-16.968669778353817</v>
      </c>
      <c r="W73" s="31">
        <f t="shared" si="20"/>
        <v>1.124183692509724E-17</v>
      </c>
      <c r="X73" s="31">
        <f t="shared" si="21"/>
        <v>-16.949162718904677</v>
      </c>
      <c r="Y73" s="31">
        <f t="shared" si="22"/>
        <v>1.5689110381087101</v>
      </c>
    </row>
    <row r="74" spans="1:25" x14ac:dyDescent="0.35">
      <c r="A74" s="35">
        <v>16</v>
      </c>
      <c r="B74" s="32">
        <v>43662</v>
      </c>
      <c r="C74" s="36">
        <v>0.4236111111111111</v>
      </c>
      <c r="D74" s="37">
        <f>D72+2*24+35/60</f>
        <v>313.18333333333334</v>
      </c>
      <c r="E74" s="35">
        <v>6.6779999999999999</v>
      </c>
      <c r="F74" s="35">
        <v>11.923</v>
      </c>
      <c r="G74" s="31">
        <f t="shared" si="15"/>
        <v>5.2450000000000001</v>
      </c>
      <c r="H74" s="35">
        <v>7.59</v>
      </c>
      <c r="I74" s="35">
        <v>1.954</v>
      </c>
      <c r="J74" s="35">
        <v>2.8000000000000001E-2</v>
      </c>
      <c r="K74" s="35">
        <v>0.50600000000000001</v>
      </c>
      <c r="L74" s="35">
        <v>5.0010000000000003</v>
      </c>
      <c r="M74" s="31">
        <f t="shared" si="16"/>
        <v>10.025024172569898</v>
      </c>
      <c r="N74" s="35">
        <v>0.307</v>
      </c>
      <c r="O74" s="35">
        <v>10.095000000000001</v>
      </c>
      <c r="P74" s="31">
        <f t="shared" si="23"/>
        <v>32.882736156351797</v>
      </c>
      <c r="Q74" s="35">
        <v>2.2019199999999999</v>
      </c>
      <c r="R74" s="31">
        <f t="shared" si="17"/>
        <v>0.90822058119996329</v>
      </c>
      <c r="S74" s="35">
        <v>4.5072999999999999</v>
      </c>
      <c r="T74" s="31">
        <f t="shared" si="25"/>
        <v>2.466916722328969</v>
      </c>
      <c r="U74" s="31">
        <f t="shared" si="18"/>
        <v>1.1523642966595129E-17</v>
      </c>
      <c r="V74" s="31">
        <f t="shared" si="19"/>
        <v>-16.938410205792493</v>
      </c>
      <c r="W74" s="31">
        <f t="shared" si="20"/>
        <v>1.0701694980517758E-17</v>
      </c>
      <c r="X74" s="31">
        <f t="shared" si="21"/>
        <v>-16.970547431437431</v>
      </c>
      <c r="Y74" s="31">
        <f t="shared" si="22"/>
        <v>1.3930093562695351</v>
      </c>
    </row>
    <row r="75" spans="1:25" x14ac:dyDescent="0.35">
      <c r="A75" s="31">
        <v>17</v>
      </c>
      <c r="B75" s="32">
        <v>43663</v>
      </c>
      <c r="C75" s="36">
        <v>0.33333333333333331</v>
      </c>
      <c r="D75" s="37">
        <f>D74+22-1/60</f>
        <v>335.16666666666669</v>
      </c>
      <c r="E75" s="35">
        <v>6.6890000000000001</v>
      </c>
      <c r="F75" s="35">
        <v>11.917</v>
      </c>
      <c r="G75" s="31">
        <f t="shared" si="15"/>
        <v>5.2279999999999998</v>
      </c>
      <c r="H75" s="35">
        <v>7.8</v>
      </c>
      <c r="I75" s="35">
        <v>2.0539999999999998</v>
      </c>
      <c r="J75" s="35">
        <v>2.7E-2</v>
      </c>
      <c r="K75" s="35">
        <v>0.503</v>
      </c>
      <c r="L75" s="35">
        <v>4.9850000000000003</v>
      </c>
      <c r="M75" s="31">
        <f t="shared" si="16"/>
        <v>10.040811605537179</v>
      </c>
      <c r="N75" s="35">
        <v>0.3</v>
      </c>
      <c r="O75" s="35">
        <v>10.058</v>
      </c>
      <c r="P75" s="31">
        <f t="shared" si="23"/>
        <v>33.526666666666671</v>
      </c>
      <c r="Q75" s="35">
        <v>2.173</v>
      </c>
      <c r="R75" s="31">
        <f t="shared" si="17"/>
        <v>0.89770350211200534</v>
      </c>
      <c r="S75" s="35">
        <v>4.3082000000000003</v>
      </c>
      <c r="T75" s="31">
        <f t="shared" si="25"/>
        <v>2.4041209276520203</v>
      </c>
      <c r="U75" s="31">
        <f t="shared" si="18"/>
        <v>1.215418263409673E-17</v>
      </c>
      <c r="V75" s="31">
        <f t="shared" si="19"/>
        <v>-16.915274242039676</v>
      </c>
      <c r="W75" s="31">
        <f t="shared" si="20"/>
        <v>1.321159588646027E-17</v>
      </c>
      <c r="X75" s="31">
        <f t="shared" si="21"/>
        <v>-16.879044718886504</v>
      </c>
      <c r="Y75" s="31">
        <f t="shared" si="22"/>
        <v>1.6304999214094156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08AE2-6E85-405A-BBAF-DEEF32D9AAE6}">
  <dimension ref="A1:Y68"/>
  <sheetViews>
    <sheetView workbookViewId="0">
      <selection activeCell="H9" sqref="H9"/>
    </sheetView>
  </sheetViews>
  <sheetFormatPr defaultRowHeight="14.5" x14ac:dyDescent="0.35"/>
  <sheetData>
    <row r="1" spans="1:25" ht="18.5" x14ac:dyDescent="0.45">
      <c r="A1" s="1" t="s">
        <v>58</v>
      </c>
    </row>
    <row r="2" spans="1:25" x14ac:dyDescent="0.35">
      <c r="A2" s="2" t="s">
        <v>0</v>
      </c>
      <c r="C2" s="3">
        <v>0.41666666666666669</v>
      </c>
    </row>
    <row r="3" spans="1:25" x14ac:dyDescent="0.35">
      <c r="A3" s="2" t="s">
        <v>1</v>
      </c>
      <c r="C3">
        <v>169.21</v>
      </c>
    </row>
    <row r="4" spans="1:25" x14ac:dyDescent="0.35">
      <c r="A4" s="2" t="s">
        <v>2</v>
      </c>
    </row>
    <row r="5" spans="1:25" x14ac:dyDescent="0.35">
      <c r="A5" s="2" t="s">
        <v>3</v>
      </c>
      <c r="C5">
        <f>9.105+0.304-9.109</f>
        <v>0.30000000000000071</v>
      </c>
    </row>
    <row r="6" spans="1:25" x14ac:dyDescent="0.35">
      <c r="A6" s="2" t="s">
        <v>4</v>
      </c>
      <c r="C6">
        <f>AVERAGE(G20:G24)/(120*60)</f>
        <v>6.6794444444444431E-4</v>
      </c>
    </row>
    <row r="7" spans="1:25" ht="15" thickBot="1" x14ac:dyDescent="0.4">
      <c r="A7" s="2" t="s">
        <v>5</v>
      </c>
      <c r="C7">
        <v>2140000</v>
      </c>
    </row>
    <row r="8" spans="1:25" x14ac:dyDescent="0.35">
      <c r="A8" s="4" t="s">
        <v>6</v>
      </c>
      <c r="B8" s="5"/>
      <c r="C8" s="6">
        <f>AVERAGE(V17:V27)</f>
        <v>-15.965611286119263</v>
      </c>
    </row>
    <row r="9" spans="1:25" ht="15" thickBot="1" x14ac:dyDescent="0.4">
      <c r="A9" s="7" t="s">
        <v>7</v>
      </c>
      <c r="B9" s="8"/>
      <c r="C9" s="9">
        <f>AVERAGE(X17:X27)</f>
        <v>-15.974121085154842</v>
      </c>
    </row>
    <row r="10" spans="1:25" x14ac:dyDescent="0.35">
      <c r="A10" s="10"/>
    </row>
    <row r="11" spans="1:25" x14ac:dyDescent="0.35">
      <c r="A11" s="2"/>
    </row>
    <row r="12" spans="1:25" ht="15" thickBot="1" x14ac:dyDescent="0.4"/>
    <row r="13" spans="1:25" x14ac:dyDescent="0.35">
      <c r="A13" s="11" t="s">
        <v>8</v>
      </c>
      <c r="B13" s="12"/>
      <c r="C13" s="12"/>
      <c r="D13" s="12"/>
      <c r="E13" s="13" t="s">
        <v>9</v>
      </c>
      <c r="F13" s="13"/>
      <c r="G13" s="13"/>
      <c r="H13" s="14"/>
      <c r="I13" s="14"/>
      <c r="J13" s="14"/>
      <c r="K13" s="15" t="s">
        <v>10</v>
      </c>
      <c r="L13" s="15"/>
      <c r="M13" s="15"/>
      <c r="N13" s="16" t="s">
        <v>10</v>
      </c>
      <c r="O13" s="16"/>
      <c r="P13" s="16"/>
      <c r="Q13" s="17" t="s">
        <v>11</v>
      </c>
      <c r="R13" s="18"/>
      <c r="S13" s="18"/>
      <c r="T13" s="18"/>
      <c r="U13" s="19" t="s">
        <v>12</v>
      </c>
      <c r="V13" s="20"/>
      <c r="W13" s="20"/>
      <c r="X13" s="20"/>
      <c r="Y13" s="21"/>
    </row>
    <row r="14" spans="1:25" ht="15" thickBot="1" x14ac:dyDescent="0.4">
      <c r="A14" s="22" t="s">
        <v>13</v>
      </c>
      <c r="B14" s="23" t="s">
        <v>14</v>
      </c>
      <c r="C14" s="23" t="s">
        <v>15</v>
      </c>
      <c r="D14" s="23" t="s">
        <v>16</v>
      </c>
      <c r="E14" s="24" t="s">
        <v>17</v>
      </c>
      <c r="F14" s="24" t="s">
        <v>18</v>
      </c>
      <c r="G14" s="24" t="s">
        <v>19</v>
      </c>
      <c r="H14" s="24" t="s">
        <v>20</v>
      </c>
      <c r="I14" s="24" t="s">
        <v>21</v>
      </c>
      <c r="J14" s="24" t="s">
        <v>22</v>
      </c>
      <c r="K14" s="25" t="s">
        <v>21</v>
      </c>
      <c r="L14" s="25" t="s">
        <v>23</v>
      </c>
      <c r="M14" s="25" t="s">
        <v>24</v>
      </c>
      <c r="N14" s="26" t="s">
        <v>25</v>
      </c>
      <c r="O14" s="26" t="s">
        <v>26</v>
      </c>
      <c r="P14" s="26" t="s">
        <v>27</v>
      </c>
      <c r="Q14" s="27" t="s">
        <v>28</v>
      </c>
      <c r="R14" s="27" t="s">
        <v>29</v>
      </c>
      <c r="S14" s="27" t="s">
        <v>30</v>
      </c>
      <c r="T14" s="27" t="s">
        <v>31</v>
      </c>
      <c r="U14" s="29" t="s">
        <v>32</v>
      </c>
      <c r="V14" s="29" t="s">
        <v>33</v>
      </c>
      <c r="W14" s="29" t="s">
        <v>34</v>
      </c>
      <c r="X14" s="29" t="s">
        <v>35</v>
      </c>
      <c r="Y14" s="30" t="s">
        <v>36</v>
      </c>
    </row>
    <row r="15" spans="1:25" x14ac:dyDescent="0.35">
      <c r="A15" s="35">
        <v>1</v>
      </c>
      <c r="B15" s="32">
        <v>43712</v>
      </c>
      <c r="C15" s="47">
        <v>0.48958333333333331</v>
      </c>
      <c r="D15" s="37">
        <v>0</v>
      </c>
      <c r="E15" s="48">
        <v>4.9450000000000003</v>
      </c>
      <c r="F15" s="35">
        <v>10.157999999999999</v>
      </c>
      <c r="G15" s="31">
        <f t="shared" ref="G15:G27" si="0">F15-E15</f>
        <v>5.2129999999999992</v>
      </c>
      <c r="H15" s="35">
        <v>7.94</v>
      </c>
      <c r="I15" s="35">
        <v>2.35</v>
      </c>
      <c r="J15" s="35">
        <v>2.7E-2</v>
      </c>
      <c r="K15" s="35">
        <v>0.50600000000000001</v>
      </c>
      <c r="L15" s="35">
        <v>5.0190000000000001</v>
      </c>
      <c r="M15" s="31">
        <f t="shared" ref="M15:M27" si="1">((I15+J15)/I15)*(L15/K15)</f>
        <v>10.032934992851738</v>
      </c>
      <c r="N15" s="39">
        <v>0.30499999999999999</v>
      </c>
      <c r="O15" s="35">
        <v>10.068</v>
      </c>
      <c r="P15" s="31">
        <f t="shared" ref="P15:P27" si="2">O15/N15</f>
        <v>33.009836065573772</v>
      </c>
      <c r="Q15" s="35">
        <v>1.9447700000000001</v>
      </c>
      <c r="R15" s="31">
        <f t="shared" ref="R15:R27" si="3">Q15/24.305*M15</f>
        <v>0.80278753285530857</v>
      </c>
      <c r="S15" s="35">
        <v>3.1413000000000002</v>
      </c>
      <c r="T15" s="31">
        <f t="shared" ref="T15:T27" si="4">S15/60.08*P15</f>
        <v>1.7259287289079046</v>
      </c>
      <c r="U15" s="31">
        <f t="shared" ref="U15:U27" si="5">((($O$38-R15)*10^(-6))*$C$6)/($C$7*$C$5*4)</f>
        <v>1.4618979415445007E-16</v>
      </c>
      <c r="V15" s="31">
        <f t="shared" ref="V15:V27" si="6">LOG(U15)</f>
        <v>-15.8350829454159</v>
      </c>
      <c r="W15" s="31">
        <f t="shared" ref="W15:W27" si="7">((($Q$37-T15)*10^(-6))*$C$6)/($C$7*$C$5*6)</f>
        <v>1.2375365084707504E-16</v>
      </c>
      <c r="X15" s="31">
        <f t="shared" ref="X15:X27" si="8">LOG(W15)</f>
        <v>-15.907441980116808</v>
      </c>
      <c r="Y15" s="31">
        <f t="shared" ref="Y15:Y27" si="9">($Q$34-T15)/($O$34-R15)</f>
        <v>0.64584275955624726</v>
      </c>
    </row>
    <row r="16" spans="1:25" x14ac:dyDescent="0.35">
      <c r="A16" s="31">
        <v>2</v>
      </c>
      <c r="B16" s="32">
        <v>43713</v>
      </c>
      <c r="C16" s="47">
        <v>0.53125</v>
      </c>
      <c r="D16" s="37">
        <v>23</v>
      </c>
      <c r="E16" s="48">
        <v>4.9290000000000003</v>
      </c>
      <c r="F16" s="35">
        <v>9.9949999999999992</v>
      </c>
      <c r="G16" s="31">
        <f t="shared" si="0"/>
        <v>5.0659999999999989</v>
      </c>
      <c r="H16" s="35">
        <v>7.37</v>
      </c>
      <c r="I16" s="35">
        <v>2.4630000000000001</v>
      </c>
      <c r="J16" s="35">
        <v>3.5000000000000003E-2</v>
      </c>
      <c r="K16" s="35">
        <v>0.51</v>
      </c>
      <c r="L16" s="35">
        <v>5.024</v>
      </c>
      <c r="M16" s="31">
        <f t="shared" si="1"/>
        <v>9.9909659032106557</v>
      </c>
      <c r="N16" s="35">
        <v>0.30399999999999999</v>
      </c>
      <c r="O16" s="35">
        <v>10.016999999999999</v>
      </c>
      <c r="P16" s="31">
        <f t="shared" si="2"/>
        <v>32.950657894736842</v>
      </c>
      <c r="Q16" s="35">
        <v>4.3521099999999997</v>
      </c>
      <c r="R16" s="31">
        <f t="shared" si="3"/>
        <v>1.7890056620869008</v>
      </c>
      <c r="S16" s="35">
        <v>2.1638000000000002</v>
      </c>
      <c r="T16" s="31"/>
      <c r="U16" s="31">
        <f t="shared" si="5"/>
        <v>-1.1032847704127948E-16</v>
      </c>
      <c r="V16" s="31" t="e">
        <f t="shared" si="6"/>
        <v>#NUM!</v>
      </c>
      <c r="W16" s="31">
        <f t="shared" si="7"/>
        <v>4.2303311761267564E-16</v>
      </c>
      <c r="X16" s="31">
        <f t="shared" si="8"/>
        <v>-15.373625632073095</v>
      </c>
      <c r="Y16" s="31">
        <f t="shared" si="9"/>
        <v>-3.2390608578795645</v>
      </c>
    </row>
    <row r="17" spans="1:25" x14ac:dyDescent="0.35">
      <c r="A17" s="35">
        <v>3</v>
      </c>
      <c r="B17" s="32">
        <v>43719</v>
      </c>
      <c r="C17" s="47">
        <v>0.48958333333333331</v>
      </c>
      <c r="D17" s="37">
        <f>D16+24*6-1</f>
        <v>166</v>
      </c>
      <c r="E17" s="48">
        <v>4.9710000000000001</v>
      </c>
      <c r="F17" s="35">
        <v>9.7590000000000003</v>
      </c>
      <c r="G17" s="31">
        <f t="shared" si="0"/>
        <v>4.7880000000000003</v>
      </c>
      <c r="H17" s="35">
        <v>7.66</v>
      </c>
      <c r="I17" s="35">
        <v>2.0720000000000001</v>
      </c>
      <c r="J17" s="35">
        <v>0.03</v>
      </c>
      <c r="K17" s="35">
        <v>0.50900000000000001</v>
      </c>
      <c r="L17" s="35">
        <v>5.024</v>
      </c>
      <c r="M17" s="31">
        <f t="shared" si="1"/>
        <v>10.013244229354248</v>
      </c>
      <c r="N17" s="35">
        <v>0.30499999999999999</v>
      </c>
      <c r="O17" s="35">
        <v>10.061999999999999</v>
      </c>
      <c r="P17" s="31">
        <f t="shared" si="2"/>
        <v>32.990163934426228</v>
      </c>
      <c r="Q17" s="35">
        <v>2.3721299999999998</v>
      </c>
      <c r="R17" s="31">
        <f t="shared" si="3"/>
        <v>0.97727698143501707</v>
      </c>
      <c r="S17" s="35">
        <v>3.0409999999999999</v>
      </c>
      <c r="T17" s="31">
        <f t="shared" si="4"/>
        <v>1.6698250420204754</v>
      </c>
      <c r="U17" s="31">
        <f t="shared" si="5"/>
        <v>1.008045691571796E-16</v>
      </c>
      <c r="V17" s="31">
        <f t="shared" si="6"/>
        <v>-15.996519782228024</v>
      </c>
      <c r="W17" s="31">
        <f t="shared" si="7"/>
        <v>1.3348214149331306E-16</v>
      </c>
      <c r="X17" s="31">
        <f t="shared" si="8"/>
        <v>-15.874576834447058</v>
      </c>
      <c r="Y17" s="31">
        <f t="shared" si="9"/>
        <v>1.4752681024747001</v>
      </c>
    </row>
    <row r="18" spans="1:25" x14ac:dyDescent="0.35">
      <c r="A18" s="35">
        <v>4</v>
      </c>
      <c r="B18" s="32">
        <v>43726</v>
      </c>
      <c r="C18" s="47">
        <v>0.48958333333333331</v>
      </c>
      <c r="D18" s="37">
        <f>D17+7*24</f>
        <v>334</v>
      </c>
      <c r="E18" s="35">
        <v>4.9589999999999996</v>
      </c>
      <c r="F18" s="35">
        <v>11.569000000000001</v>
      </c>
      <c r="G18" s="31">
        <f t="shared" si="0"/>
        <v>6.6100000000000012</v>
      </c>
      <c r="H18" s="35">
        <v>8.6199999999999992</v>
      </c>
      <c r="I18" s="35">
        <v>3.0369999999999999</v>
      </c>
      <c r="J18" s="35">
        <v>3.2000000000000001E-2</v>
      </c>
      <c r="K18" s="35">
        <v>0.50700000000000001</v>
      </c>
      <c r="L18" s="35">
        <v>5.0010000000000003</v>
      </c>
      <c r="M18" s="31">
        <f t="shared" si="1"/>
        <v>9.9678384734234395</v>
      </c>
      <c r="N18" s="35">
        <v>0.29399999999999998</v>
      </c>
      <c r="O18" s="35">
        <v>10.028</v>
      </c>
      <c r="P18" s="31">
        <f t="shared" si="2"/>
        <v>34.10884353741497</v>
      </c>
      <c r="Q18" s="35">
        <v>2.1667700000000001</v>
      </c>
      <c r="R18" s="31">
        <f t="shared" si="3"/>
        <v>0.88862429002508569</v>
      </c>
      <c r="S18" s="35">
        <v>3.2559</v>
      </c>
      <c r="T18" s="31">
        <f t="shared" si="4"/>
        <v>1.8484517921682657</v>
      </c>
      <c r="U18" s="31">
        <f t="shared" si="5"/>
        <v>1.2386339809499551E-16</v>
      </c>
      <c r="V18" s="31">
        <f t="shared" si="6"/>
        <v>-15.907057009635167</v>
      </c>
      <c r="W18" s="31">
        <f t="shared" si="7"/>
        <v>1.0250790852592414E-16</v>
      </c>
      <c r="X18" s="31">
        <f t="shared" si="8"/>
        <v>-15.989242627323604</v>
      </c>
      <c r="Y18" s="31">
        <f t="shared" si="9"/>
        <v>0.41622414527918333</v>
      </c>
    </row>
    <row r="19" spans="1:25" x14ac:dyDescent="0.35">
      <c r="A19" s="31">
        <v>5</v>
      </c>
      <c r="B19" s="32">
        <v>43733</v>
      </c>
      <c r="C19" s="47">
        <v>0.48958333333333298</v>
      </c>
      <c r="D19" s="37">
        <f>D18+7*24</f>
        <v>502</v>
      </c>
      <c r="E19" s="35">
        <v>4.9279999999999999</v>
      </c>
      <c r="F19" s="35">
        <v>9.4440000000000008</v>
      </c>
      <c r="G19" s="31">
        <f t="shared" si="0"/>
        <v>4.5160000000000009</v>
      </c>
      <c r="H19" s="35">
        <v>8.23</v>
      </c>
      <c r="I19" s="35">
        <v>1.9930000000000001</v>
      </c>
      <c r="J19" s="35">
        <v>2.1000000000000001E-2</v>
      </c>
      <c r="K19" s="35">
        <v>0.50700000000000001</v>
      </c>
      <c r="L19" s="35">
        <v>4.9930000000000003</v>
      </c>
      <c r="M19" s="31">
        <f t="shared" si="1"/>
        <v>9.9518947479887725</v>
      </c>
      <c r="N19" s="35">
        <v>0.3</v>
      </c>
      <c r="O19" s="35">
        <v>10.048</v>
      </c>
      <c r="P19" s="31">
        <f t="shared" si="2"/>
        <v>33.493333333333332</v>
      </c>
      <c r="Q19" s="35">
        <v>2.0669</v>
      </c>
      <c r="R19" s="31">
        <f t="shared" si="3"/>
        <v>0.84631027585344554</v>
      </c>
      <c r="S19" s="35">
        <v>2.9895999999999998</v>
      </c>
      <c r="T19" s="31">
        <f t="shared" si="4"/>
        <v>1.6666389702618731</v>
      </c>
      <c r="U19" s="31">
        <f t="shared" si="5"/>
        <v>1.3486939914175971E-16</v>
      </c>
      <c r="V19" s="31">
        <f t="shared" si="6"/>
        <v>-15.870086577321702</v>
      </c>
      <c r="W19" s="31">
        <f t="shared" si="7"/>
        <v>1.3403461265913855E-16</v>
      </c>
      <c r="X19" s="31">
        <f t="shared" si="8"/>
        <v>-15.87278303636816</v>
      </c>
      <c r="Y19" s="31">
        <f t="shared" si="9"/>
        <v>0.90714221536475836</v>
      </c>
    </row>
    <row r="20" spans="1:25" x14ac:dyDescent="0.35">
      <c r="A20" s="35">
        <v>6</v>
      </c>
      <c r="B20" s="32">
        <v>43741</v>
      </c>
      <c r="C20" s="47">
        <v>0.48958333333333298</v>
      </c>
      <c r="D20" s="37">
        <f>D19+8*24</f>
        <v>694</v>
      </c>
      <c r="E20" s="35">
        <v>4.9660000000000002</v>
      </c>
      <c r="F20" s="35">
        <v>10.317</v>
      </c>
      <c r="G20" s="31">
        <f t="shared" si="0"/>
        <v>5.351</v>
      </c>
      <c r="H20" s="35">
        <v>8.58</v>
      </c>
      <c r="I20" s="35">
        <v>2.5790000000000002</v>
      </c>
      <c r="J20" s="35">
        <v>2.4E-2</v>
      </c>
      <c r="K20" s="35">
        <v>0.50700000000000001</v>
      </c>
      <c r="L20" s="35">
        <v>4.9870000000000001</v>
      </c>
      <c r="M20" s="31">
        <f t="shared" si="1"/>
        <v>9.9278277821243197</v>
      </c>
      <c r="N20" s="35">
        <v>0.29799999999999999</v>
      </c>
      <c r="O20" s="35">
        <v>10.087</v>
      </c>
      <c r="P20" s="31">
        <f t="shared" si="2"/>
        <v>33.848993288590606</v>
      </c>
      <c r="Q20" s="35">
        <v>2.0377399999999999</v>
      </c>
      <c r="R20" s="31">
        <f t="shared" si="3"/>
        <v>0.83235267577642502</v>
      </c>
      <c r="S20" s="35">
        <v>2.8833000000000002</v>
      </c>
      <c r="T20" s="31">
        <f t="shared" si="4"/>
        <v>1.6244474425598086</v>
      </c>
      <c r="U20" s="31">
        <f t="shared" si="5"/>
        <v>1.3849981247089647E-16</v>
      </c>
      <c r="V20" s="31">
        <f>LOG(U20)</f>
        <v>-15.858550814634985</v>
      </c>
      <c r="W20" s="31">
        <f t="shared" si="7"/>
        <v>1.4135070729341107E-16</v>
      </c>
      <c r="X20" s="31">
        <f t="shared" si="8"/>
        <v>-15.849702014037872</v>
      </c>
      <c r="Y20" s="31">
        <f t="shared" si="9"/>
        <v>0.99189274237818015</v>
      </c>
    </row>
    <row r="21" spans="1:25" x14ac:dyDescent="0.35">
      <c r="A21" s="35">
        <v>7</v>
      </c>
      <c r="B21" s="32">
        <v>43747</v>
      </c>
      <c r="C21" s="47">
        <v>0.48958333333333298</v>
      </c>
      <c r="D21" s="37">
        <f>D20+6*24</f>
        <v>838</v>
      </c>
      <c r="E21" s="35">
        <v>4.9610000000000003</v>
      </c>
      <c r="F21" s="35">
        <v>9.6519999999999992</v>
      </c>
      <c r="G21" s="31">
        <f t="shared" si="0"/>
        <v>4.6909999999999989</v>
      </c>
      <c r="H21" s="35">
        <v>8.58</v>
      </c>
      <c r="I21" s="35">
        <v>2.4950000000000001</v>
      </c>
      <c r="J21" s="35">
        <v>2.9000000000000001E-2</v>
      </c>
      <c r="K21" s="35">
        <v>0.50700000000000001</v>
      </c>
      <c r="L21" s="35">
        <v>4.9939999999999998</v>
      </c>
      <c r="M21" s="31">
        <f t="shared" si="1"/>
        <v>9.964588743562075</v>
      </c>
      <c r="N21" s="35">
        <v>0.30299999999999999</v>
      </c>
      <c r="O21" s="35">
        <v>10.081</v>
      </c>
      <c r="P21" s="31">
        <f t="shared" si="2"/>
        <v>33.270627062706268</v>
      </c>
      <c r="Q21" s="35">
        <v>2.14988</v>
      </c>
      <c r="R21" s="31">
        <f t="shared" si="3"/>
        <v>0.88140999991809232</v>
      </c>
      <c r="S21" s="35">
        <v>2.9674999999999998</v>
      </c>
      <c r="T21" s="31">
        <f t="shared" si="4"/>
        <v>1.6433186719137958</v>
      </c>
      <c r="U21" s="31">
        <f t="shared" si="5"/>
        <v>1.2573985642738521E-16</v>
      </c>
      <c r="V21" s="31">
        <f t="shared" si="6"/>
        <v>-15.90052703987282</v>
      </c>
      <c r="W21" s="31">
        <f t="shared" si="7"/>
        <v>1.3807839867273801E-16</v>
      </c>
      <c r="X21" s="31">
        <f t="shared" si="8"/>
        <v>-15.859874258213644</v>
      </c>
      <c r="Y21" s="31">
        <f t="shared" si="9"/>
        <v>1.0913939277884375</v>
      </c>
    </row>
    <row r="22" spans="1:25" x14ac:dyDescent="0.35">
      <c r="A22" s="31">
        <v>8</v>
      </c>
      <c r="B22" s="32">
        <v>43754</v>
      </c>
      <c r="C22" s="47">
        <v>0.48958333333333298</v>
      </c>
      <c r="D22" s="37">
        <f t="shared" ref="D22:D27" si="10">D21+7*24</f>
        <v>1006</v>
      </c>
      <c r="E22" s="35">
        <v>4.95</v>
      </c>
      <c r="F22" s="35">
        <v>9.9079999999999995</v>
      </c>
      <c r="G22" s="31">
        <f t="shared" si="0"/>
        <v>4.9579999999999993</v>
      </c>
      <c r="H22" s="35">
        <v>7.91</v>
      </c>
      <c r="I22" s="35">
        <v>2.4859</v>
      </c>
      <c r="J22" s="35">
        <v>2.9000000000000001E-2</v>
      </c>
      <c r="K22" s="35">
        <v>0.50800000000000001</v>
      </c>
      <c r="L22" s="35">
        <v>4.9989999999999997</v>
      </c>
      <c r="M22" s="31">
        <f t="shared" si="1"/>
        <v>9.9553490346974254</v>
      </c>
      <c r="N22" s="35">
        <v>0.30299999999999999</v>
      </c>
      <c r="O22" s="35">
        <v>10.077</v>
      </c>
      <c r="P22" s="31">
        <f t="shared" si="2"/>
        <v>33.257425742574256</v>
      </c>
      <c r="Q22" s="35">
        <v>2.14628</v>
      </c>
      <c r="R22" s="31">
        <f t="shared" si="3"/>
        <v>0.87911814549230161</v>
      </c>
      <c r="S22" s="35">
        <v>3.0526</v>
      </c>
      <c r="T22" s="31">
        <f t="shared" si="4"/>
        <v>1.6897739317873197</v>
      </c>
      <c r="U22" s="31">
        <f t="shared" si="5"/>
        <v>1.2633597458594528E-16</v>
      </c>
      <c r="V22" s="31">
        <f t="shared" si="6"/>
        <v>-15.89847296504623</v>
      </c>
      <c r="W22" s="31">
        <f t="shared" si="7"/>
        <v>1.3002296441839137E-16</v>
      </c>
      <c r="X22" s="31">
        <f t="shared" si="8"/>
        <v>-15.885979936620849</v>
      </c>
      <c r="Y22" s="31">
        <f t="shared" si="9"/>
        <v>0.92910815632432375</v>
      </c>
    </row>
    <row r="23" spans="1:25" x14ac:dyDescent="0.35">
      <c r="A23" s="35">
        <v>9</v>
      </c>
      <c r="B23" s="32">
        <v>43761</v>
      </c>
      <c r="C23" s="47">
        <v>0.48958333333333298</v>
      </c>
      <c r="D23" s="37">
        <f t="shared" si="10"/>
        <v>1174</v>
      </c>
      <c r="E23" s="35">
        <v>4.9409999999999998</v>
      </c>
      <c r="F23" s="35">
        <v>9.6679999999999993</v>
      </c>
      <c r="G23" s="31">
        <f t="shared" si="0"/>
        <v>4.7269999999999994</v>
      </c>
      <c r="H23" s="35">
        <v>6.58</v>
      </c>
      <c r="I23" s="35">
        <v>2.4750000000000001</v>
      </c>
      <c r="J23" s="35">
        <v>2.9000000000000001E-2</v>
      </c>
      <c r="K23" s="35">
        <v>0.50800000000000001</v>
      </c>
      <c r="L23" s="35">
        <v>4.9779999999999998</v>
      </c>
      <c r="M23" s="31">
        <f t="shared" si="1"/>
        <v>9.9140316551340177</v>
      </c>
      <c r="N23" s="35">
        <v>0.30299999999999999</v>
      </c>
      <c r="O23" s="35">
        <v>10.031000000000001</v>
      </c>
      <c r="P23" s="31">
        <f t="shared" si="2"/>
        <v>33.10561056105611</v>
      </c>
      <c r="Q23" s="35">
        <v>2.18648</v>
      </c>
      <c r="R23" s="31">
        <f t="shared" si="3"/>
        <v>0.89186718507786167</v>
      </c>
      <c r="S23" s="35">
        <v>3.1331000000000002</v>
      </c>
      <c r="T23" s="31">
        <f t="shared" si="4"/>
        <v>1.7264179169248488</v>
      </c>
      <c r="U23" s="31">
        <f t="shared" si="5"/>
        <v>1.2301991143829066E-16</v>
      </c>
      <c r="V23" s="31">
        <f t="shared" si="6"/>
        <v>-15.910024589959608</v>
      </c>
      <c r="W23" s="31">
        <f t="shared" si="7"/>
        <v>1.2366882467412418E-16</v>
      </c>
      <c r="X23" s="31">
        <f t="shared" si="8"/>
        <v>-15.90773976664731</v>
      </c>
      <c r="Y23" s="31">
        <f t="shared" si="9"/>
        <v>0.8432755471862714</v>
      </c>
    </row>
    <row r="24" spans="1:25" x14ac:dyDescent="0.35">
      <c r="A24" s="35">
        <v>10</v>
      </c>
      <c r="B24" s="32">
        <v>43768</v>
      </c>
      <c r="C24" s="47">
        <v>0.48958333333333298</v>
      </c>
      <c r="D24" s="37">
        <f t="shared" si="10"/>
        <v>1342</v>
      </c>
      <c r="E24" s="35">
        <v>4.9210000000000003</v>
      </c>
      <c r="F24" s="35">
        <v>9.24</v>
      </c>
      <c r="G24" s="31">
        <f t="shared" si="0"/>
        <v>4.319</v>
      </c>
      <c r="H24" s="35">
        <v>7.48</v>
      </c>
      <c r="I24" s="35">
        <v>2.2959999999999998</v>
      </c>
      <c r="J24" s="35">
        <v>2.9000000000000001E-2</v>
      </c>
      <c r="K24" s="35">
        <v>0.50700000000000001</v>
      </c>
      <c r="L24" s="35">
        <v>4.984</v>
      </c>
      <c r="M24" s="31">
        <f t="shared" si="1"/>
        <v>9.9545388945013702</v>
      </c>
      <c r="N24" s="35">
        <v>0.30199999999999999</v>
      </c>
      <c r="O24" s="35">
        <v>10.053000000000001</v>
      </c>
      <c r="P24" s="31">
        <f t="shared" si="2"/>
        <v>33.288079470198682</v>
      </c>
      <c r="Q24" s="35">
        <v>2.2641</v>
      </c>
      <c r="R24" s="31">
        <f t="shared" si="3"/>
        <v>0.92730185192514103</v>
      </c>
      <c r="S24" s="35">
        <v>3.2793000000000001</v>
      </c>
      <c r="T24" s="31">
        <f t="shared" si="4"/>
        <v>1.8169374002433845</v>
      </c>
      <c r="U24" s="31">
        <f t="shared" si="5"/>
        <v>1.1380324910909286E-16</v>
      </c>
      <c r="V24" s="31">
        <f>LOG(U24)</f>
        <v>-15.943845338556002</v>
      </c>
      <c r="W24" s="31">
        <f t="shared" si="7"/>
        <v>1.0797256662724014E-16</v>
      </c>
      <c r="X24" s="31">
        <f t="shared" si="8"/>
        <v>-15.966686574844905</v>
      </c>
      <c r="Y24" s="31">
        <f t="shared" si="9"/>
        <v>0.60405728766000966</v>
      </c>
    </row>
    <row r="25" spans="1:25" x14ac:dyDescent="0.35">
      <c r="A25" s="31">
        <v>11</v>
      </c>
      <c r="B25" s="32">
        <v>43775</v>
      </c>
      <c r="C25" s="47">
        <v>0.48958333333333298</v>
      </c>
      <c r="D25" s="37">
        <f t="shared" si="10"/>
        <v>1510</v>
      </c>
      <c r="E25" s="35">
        <v>4.9539999999999997</v>
      </c>
      <c r="F25" s="35">
        <v>9.7270000000000003</v>
      </c>
      <c r="G25" s="31">
        <f t="shared" si="0"/>
        <v>4.7730000000000006</v>
      </c>
      <c r="H25" s="35">
        <v>7.47</v>
      </c>
      <c r="I25" s="35">
        <v>2.4039999999999999</v>
      </c>
      <c r="J25" s="35">
        <v>2.7E-2</v>
      </c>
      <c r="K25" s="35">
        <v>0.50700000000000001</v>
      </c>
      <c r="L25" s="35">
        <v>4.9690000000000003</v>
      </c>
      <c r="M25" s="31">
        <f t="shared" si="1"/>
        <v>9.9108643713469018</v>
      </c>
      <c r="N25" s="35">
        <v>0.30099999999999999</v>
      </c>
      <c r="O25" s="35">
        <v>10.029</v>
      </c>
      <c r="P25" s="31">
        <f t="shared" si="2"/>
        <v>33.31893687707641</v>
      </c>
      <c r="Q25" s="35">
        <v>2.4424399999999999</v>
      </c>
      <c r="R25" s="31">
        <f t="shared" si="3"/>
        <v>0.99595521806840259</v>
      </c>
      <c r="S25" s="35">
        <v>3.4689000000000001</v>
      </c>
      <c r="T25" s="31">
        <f t="shared" si="4"/>
        <v>1.9237693098017703</v>
      </c>
      <c r="U25" s="31">
        <f t="shared" si="5"/>
        <v>9.594630420730089E-17</v>
      </c>
      <c r="V25" s="31">
        <f>LOG(U25)</f>
        <v>-16.017971749362985</v>
      </c>
      <c r="W25" s="31">
        <f t="shared" si="7"/>
        <v>8.9447701497719123E-17</v>
      </c>
      <c r="X25" s="31">
        <f t="shared" si="8"/>
        <v>-16.048430814847112</v>
      </c>
      <c r="Y25" s="31">
        <f t="shared" si="9"/>
        <v>0.25043133547853602</v>
      </c>
    </row>
    <row r="26" spans="1:25" x14ac:dyDescent="0.35">
      <c r="A26" s="35">
        <v>12</v>
      </c>
      <c r="B26" s="50">
        <v>43782</v>
      </c>
      <c r="C26" s="47">
        <v>0.48958333333333298</v>
      </c>
      <c r="D26" s="37">
        <f t="shared" si="10"/>
        <v>1678</v>
      </c>
      <c r="E26" s="51">
        <v>4.9630000000000001</v>
      </c>
      <c r="F26" s="51">
        <v>8.7059999999999995</v>
      </c>
      <c r="G26" s="35">
        <f t="shared" si="0"/>
        <v>3.7429999999999994</v>
      </c>
      <c r="H26" s="35">
        <v>7.49</v>
      </c>
      <c r="I26" s="52">
        <v>2.3769999999999998</v>
      </c>
      <c r="J26" s="35">
        <v>2.9000000000000001E-2</v>
      </c>
      <c r="K26" s="35">
        <v>0.505</v>
      </c>
      <c r="L26" s="35">
        <v>4.9980000000000002</v>
      </c>
      <c r="M26" s="49">
        <f t="shared" si="1"/>
        <v>10.017775963545029</v>
      </c>
      <c r="N26" s="51">
        <v>0.30199999999999999</v>
      </c>
      <c r="O26" s="51">
        <v>10.009</v>
      </c>
      <c r="P26" s="49">
        <f t="shared" si="2"/>
        <v>33.142384105960268</v>
      </c>
      <c r="Q26" s="35">
        <v>2.5624600000000002</v>
      </c>
      <c r="R26" s="49">
        <f t="shared" si="3"/>
        <v>1.0561674633016087</v>
      </c>
      <c r="S26" s="35">
        <v>3.6920000000000002</v>
      </c>
      <c r="T26" s="49">
        <f t="shared" si="4"/>
        <v>2.0366458408656012</v>
      </c>
      <c r="U26" s="31">
        <f t="shared" si="5"/>
        <v>8.0284919981815533E-17</v>
      </c>
      <c r="V26" s="49">
        <f t="shared" si="6"/>
        <v>-16.095366021143676</v>
      </c>
      <c r="W26" s="31">
        <f t="shared" si="7"/>
        <v>6.9874687003366487E-17</v>
      </c>
      <c r="X26" s="31">
        <f t="shared" si="8"/>
        <v>-16.15568012447962</v>
      </c>
      <c r="Y26" s="53">
        <f t="shared" si="9"/>
        <v>-0.53433674613078042</v>
      </c>
    </row>
    <row r="27" spans="1:25" x14ac:dyDescent="0.35">
      <c r="A27" s="35">
        <v>13</v>
      </c>
      <c r="B27" s="38">
        <v>43789</v>
      </c>
      <c r="C27" s="47">
        <v>0.48958333333333298</v>
      </c>
      <c r="D27" s="37">
        <f t="shared" si="10"/>
        <v>1846</v>
      </c>
      <c r="E27" s="35">
        <v>5.0140000000000002</v>
      </c>
      <c r="F27" s="35">
        <v>9.8260000000000005</v>
      </c>
      <c r="G27" s="35">
        <f t="shared" si="0"/>
        <v>4.8120000000000003</v>
      </c>
      <c r="H27" s="35">
        <v>7.5</v>
      </c>
      <c r="I27" s="39">
        <v>2.4319999999999999</v>
      </c>
      <c r="J27" s="35">
        <v>3.4000000000000002E-2</v>
      </c>
      <c r="K27" s="35">
        <v>0.50700000000000001</v>
      </c>
      <c r="L27" s="35">
        <v>4.968</v>
      </c>
      <c r="M27" s="35">
        <f t="shared" si="1"/>
        <v>9.9358066023045772</v>
      </c>
      <c r="N27" s="35">
        <v>0.30199999999999999</v>
      </c>
      <c r="O27" s="35">
        <v>10.019</v>
      </c>
      <c r="P27" s="35">
        <f t="shared" si="2"/>
        <v>33.175496688741724</v>
      </c>
      <c r="Q27" s="35">
        <v>2.7762600000000002</v>
      </c>
      <c r="R27" s="35">
        <f t="shared" si="3"/>
        <v>1.1349262471801731</v>
      </c>
      <c r="S27" s="35">
        <v>3.9001999999999999</v>
      </c>
      <c r="T27" s="35">
        <f t="shared" si="4"/>
        <v>2.153646341302105</v>
      </c>
      <c r="U27" s="31">
        <f t="shared" si="5"/>
        <v>5.9799525845177049E-17</v>
      </c>
      <c r="V27" s="35">
        <f t="shared" si="6"/>
        <v>-16.223302259550714</v>
      </c>
      <c r="W27" s="31">
        <f t="shared" si="7"/>
        <v>4.9586568035614063E-17</v>
      </c>
      <c r="X27" s="31">
        <f t="shared" si="8"/>
        <v>-16.304635948873099</v>
      </c>
      <c r="Y27" s="54">
        <f t="shared" si="9"/>
        <v>-4.0031837017555763</v>
      </c>
    </row>
    <row r="31" spans="1:25" ht="15" thickBot="1" x14ac:dyDescent="0.4"/>
    <row r="32" spans="1:25" x14ac:dyDescent="0.35">
      <c r="A32" s="11" t="s">
        <v>8</v>
      </c>
      <c r="B32" s="12"/>
      <c r="C32" s="12"/>
      <c r="D32" s="12"/>
      <c r="E32" s="13" t="s">
        <v>9</v>
      </c>
      <c r="F32" s="14"/>
      <c r="G32" s="14"/>
      <c r="H32" s="15" t="s">
        <v>10</v>
      </c>
      <c r="I32" s="15"/>
      <c r="J32" s="15"/>
      <c r="K32" s="16" t="s">
        <v>10</v>
      </c>
      <c r="L32" s="16"/>
      <c r="M32" s="16"/>
      <c r="N32" s="17" t="s">
        <v>11</v>
      </c>
      <c r="O32" s="18"/>
      <c r="P32" s="18"/>
      <c r="Q32" s="40"/>
      <c r="W32" t="s">
        <v>54</v>
      </c>
      <c r="X32" t="s">
        <v>55</v>
      </c>
      <c r="Y32" t="s">
        <v>56</v>
      </c>
    </row>
    <row r="33" spans="1:25" ht="15" thickBot="1" x14ac:dyDescent="0.4">
      <c r="A33" s="22" t="s">
        <v>13</v>
      </c>
      <c r="B33" s="23" t="s">
        <v>14</v>
      </c>
      <c r="C33" s="23" t="s">
        <v>15</v>
      </c>
      <c r="D33" s="23" t="s">
        <v>16</v>
      </c>
      <c r="E33" s="24" t="s">
        <v>20</v>
      </c>
      <c r="F33" s="24" t="s">
        <v>21</v>
      </c>
      <c r="G33" s="24" t="s">
        <v>22</v>
      </c>
      <c r="H33" s="25" t="s">
        <v>21</v>
      </c>
      <c r="I33" s="25" t="s">
        <v>23</v>
      </c>
      <c r="J33" s="25" t="s">
        <v>24</v>
      </c>
      <c r="K33" s="26" t="s">
        <v>25</v>
      </c>
      <c r="L33" s="26" t="s">
        <v>26</v>
      </c>
      <c r="M33" s="26" t="s">
        <v>27</v>
      </c>
      <c r="N33" s="27" t="s">
        <v>28</v>
      </c>
      <c r="O33" s="27" t="s">
        <v>29</v>
      </c>
      <c r="P33" s="27" t="s">
        <v>30</v>
      </c>
      <c r="Q33" s="41" t="s">
        <v>31</v>
      </c>
      <c r="W33">
        <f>AVERAGE(W17:W27)</f>
        <v>1.1091155280918002E-16</v>
      </c>
      <c r="X33">
        <f>D27*60*60</f>
        <v>6645600</v>
      </c>
      <c r="Y33">
        <f>X33*W33*C5*C7</f>
        <v>4.7320138945385802E-4</v>
      </c>
    </row>
    <row r="34" spans="1:25" x14ac:dyDescent="0.35">
      <c r="A34" s="31">
        <v>1</v>
      </c>
      <c r="B34" s="32">
        <v>43713</v>
      </c>
      <c r="C34" s="33">
        <v>0.65972222222222221</v>
      </c>
      <c r="D34" s="34">
        <v>0</v>
      </c>
      <c r="E34" s="31">
        <v>9.0299999999999994</v>
      </c>
      <c r="F34" s="31">
        <v>4.5780000000000003</v>
      </c>
      <c r="G34" s="31">
        <v>9.6000000000000002E-2</v>
      </c>
      <c r="H34" s="31">
        <v>0.51</v>
      </c>
      <c r="I34" s="31">
        <v>5.0279999999999996</v>
      </c>
      <c r="J34" s="31">
        <f t="shared" ref="J34:J39" si="11">((F34+G34)/F34)*(I34/H34)</f>
        <v>10.065561637499034</v>
      </c>
      <c r="K34" s="31">
        <v>0.30499999999999999</v>
      </c>
      <c r="L34" s="31">
        <v>10.028</v>
      </c>
      <c r="M34" s="31">
        <f t="shared" ref="M34:M39" si="12">L34/K34</f>
        <v>32.878688524590167</v>
      </c>
      <c r="N34" s="31">
        <v>2.85121</v>
      </c>
      <c r="O34" s="31">
        <f t="shared" ref="O34:O39" si="13">N34/24.305*J34</f>
        <v>1.1807870807016507</v>
      </c>
      <c r="P34" s="55">
        <v>3.5998999999999999</v>
      </c>
      <c r="Q34" s="31">
        <v>1.9700569999999999</v>
      </c>
      <c r="S34">
        <v>3.5998999999999999</v>
      </c>
    </row>
    <row r="35" spans="1:25" x14ac:dyDescent="0.35">
      <c r="A35" s="35">
        <v>2</v>
      </c>
      <c r="B35" s="38">
        <v>43726</v>
      </c>
      <c r="C35" s="36">
        <v>0.38541666666666669</v>
      </c>
      <c r="D35" s="37">
        <f>13*24-6-35/60</f>
        <v>305.41666666666669</v>
      </c>
      <c r="E35" s="35">
        <v>9.2100000000000009</v>
      </c>
      <c r="F35" s="35">
        <v>4.351</v>
      </c>
      <c r="G35" s="35">
        <v>0.128</v>
      </c>
      <c r="H35" s="35">
        <v>0.50700000000000001</v>
      </c>
      <c r="I35" s="35">
        <v>4.968</v>
      </c>
      <c r="J35" s="31">
        <f t="shared" si="11"/>
        <v>10.087083293101362</v>
      </c>
      <c r="K35" s="35">
        <v>0.3</v>
      </c>
      <c r="L35" s="35">
        <v>10.016999999999999</v>
      </c>
      <c r="M35" s="31">
        <f t="shared" si="12"/>
        <v>33.39</v>
      </c>
      <c r="N35" s="35">
        <v>2.8622700000000001</v>
      </c>
      <c r="O35" s="31">
        <f t="shared" si="13"/>
        <v>1.1879019089629803</v>
      </c>
      <c r="P35" s="55">
        <v>3.5093999999999999</v>
      </c>
      <c r="Q35" s="31">
        <v>1.950404</v>
      </c>
      <c r="S35">
        <v>3.5093999999999999</v>
      </c>
    </row>
    <row r="36" spans="1:25" x14ac:dyDescent="0.35">
      <c r="A36" s="31">
        <v>3</v>
      </c>
      <c r="B36" s="32">
        <v>43740</v>
      </c>
      <c r="C36" s="33">
        <v>0.60416666666666663</v>
      </c>
      <c r="D36" s="34">
        <f>D35+14*24+5+15/60</f>
        <v>646.66666666666674</v>
      </c>
      <c r="E36" s="31">
        <v>9.07</v>
      </c>
      <c r="F36" s="31">
        <v>4.4710000000000001</v>
      </c>
      <c r="G36" s="31">
        <v>0.10100000000000001</v>
      </c>
      <c r="H36" s="31">
        <v>0.50600000000000001</v>
      </c>
      <c r="I36" s="31">
        <v>4.9640000000000004</v>
      </c>
      <c r="J36" s="35">
        <f t="shared" si="11"/>
        <v>10.031891071401736</v>
      </c>
      <c r="K36" s="31">
        <v>0.30099999999999999</v>
      </c>
      <c r="L36" s="31">
        <v>8.9849999999999994</v>
      </c>
      <c r="M36" s="31">
        <f t="shared" si="12"/>
        <v>29.85049833887043</v>
      </c>
      <c r="N36" s="35">
        <v>2.8662000000000001</v>
      </c>
      <c r="O36" s="31">
        <f t="shared" si="13"/>
        <v>1.1830243237544398</v>
      </c>
      <c r="P36" s="55">
        <v>3.9527999999999999</v>
      </c>
      <c r="Q36" s="31">
        <v>1.9639329999999999</v>
      </c>
      <c r="S36">
        <v>3.9527999999999999</v>
      </c>
    </row>
    <row r="37" spans="1:25" x14ac:dyDescent="0.35">
      <c r="A37" s="31">
        <v>4</v>
      </c>
      <c r="B37" s="32">
        <v>43754</v>
      </c>
      <c r="C37" s="33">
        <v>0.58333333333333337</v>
      </c>
      <c r="D37" s="34">
        <f>D36+24*14-0.5</f>
        <v>982.16666666666674</v>
      </c>
      <c r="E37" s="31">
        <v>8.9700000000000006</v>
      </c>
      <c r="F37" s="31">
        <v>5.476</v>
      </c>
      <c r="G37" s="31">
        <v>0.106</v>
      </c>
      <c r="H37" s="31">
        <v>0.503</v>
      </c>
      <c r="I37" s="31">
        <v>4.9619999999999997</v>
      </c>
      <c r="J37" s="35">
        <f t="shared" si="11"/>
        <v>10.055766206268595</v>
      </c>
      <c r="K37" s="31">
        <v>0.30099999999999999</v>
      </c>
      <c r="L37" s="31">
        <v>9.9260000000000002</v>
      </c>
      <c r="M37" s="31">
        <f t="shared" si="12"/>
        <v>32.97674418604651</v>
      </c>
      <c r="N37" s="35">
        <v>3.3326699999999998</v>
      </c>
      <c r="O37" s="31">
        <f t="shared" si="13"/>
        <v>1.378833588259418</v>
      </c>
      <c r="P37" s="35">
        <v>4.4447000000000001</v>
      </c>
      <c r="Q37" s="31">
        <f t="shared" ref="Q37:Q39" si="14">P37/60.08*M37</f>
        <v>2.4396094354813735</v>
      </c>
    </row>
    <row r="38" spans="1:25" x14ac:dyDescent="0.35">
      <c r="A38" s="31">
        <v>5</v>
      </c>
      <c r="B38" s="32">
        <v>43758</v>
      </c>
      <c r="C38" s="33">
        <v>0.65625</v>
      </c>
      <c r="D38" s="34">
        <f>D37+14*14+1+45/60</f>
        <v>1179.9166666666667</v>
      </c>
      <c r="E38" s="31">
        <v>8.84</v>
      </c>
      <c r="F38" s="31">
        <v>4.8319999999999999</v>
      </c>
      <c r="G38" s="31">
        <v>0.11</v>
      </c>
      <c r="H38" s="31">
        <v>0.50600000000000001</v>
      </c>
      <c r="I38" s="31">
        <v>4.9690000000000003</v>
      </c>
      <c r="J38" s="35">
        <f t="shared" si="11"/>
        <v>10.043713026463891</v>
      </c>
      <c r="K38" s="31">
        <v>0.30199999999999999</v>
      </c>
      <c r="L38" s="31">
        <v>10.026999999999999</v>
      </c>
      <c r="M38" s="31">
        <f t="shared" si="12"/>
        <v>33.201986754966889</v>
      </c>
      <c r="N38" s="35">
        <v>3.3027899999999999</v>
      </c>
      <c r="O38" s="31">
        <f t="shared" si="13"/>
        <v>1.3648333654258249</v>
      </c>
      <c r="P38" s="35">
        <v>4.4099000000000004</v>
      </c>
      <c r="Q38" s="31">
        <f t="shared" si="14"/>
        <v>2.4370413014435504</v>
      </c>
    </row>
    <row r="39" spans="1:25" x14ac:dyDescent="0.35">
      <c r="A39" s="31">
        <v>6</v>
      </c>
      <c r="B39" s="32">
        <v>43782</v>
      </c>
      <c r="C39" s="33">
        <v>0.60416666666666663</v>
      </c>
      <c r="D39" s="34">
        <v>1846</v>
      </c>
      <c r="E39" s="31">
        <v>8.7200000000000006</v>
      </c>
      <c r="F39" s="31">
        <v>4.6130000000000004</v>
      </c>
      <c r="G39" s="31">
        <v>0.114</v>
      </c>
      <c r="H39" s="31">
        <v>0.503</v>
      </c>
      <c r="I39" s="31">
        <v>4.9790000000000001</v>
      </c>
      <c r="J39" s="35">
        <f t="shared" si="11"/>
        <v>10.143230364183854</v>
      </c>
      <c r="K39" s="31">
        <v>0.30299999999999999</v>
      </c>
      <c r="L39" s="31">
        <v>10.032999999999999</v>
      </c>
      <c r="M39" s="31">
        <f t="shared" si="12"/>
        <v>33.112211221122109</v>
      </c>
      <c r="N39" s="35">
        <v>3.2894800000000002</v>
      </c>
      <c r="O39" s="31">
        <f t="shared" si="13"/>
        <v>1.3728020332596382</v>
      </c>
      <c r="P39" s="35">
        <v>4.4478</v>
      </c>
      <c r="Q39" s="31">
        <f t="shared" si="14"/>
        <v>2.4513397648020461</v>
      </c>
    </row>
    <row r="41" spans="1:25" x14ac:dyDescent="0.35">
      <c r="E41" s="42"/>
    </row>
    <row r="43" spans="1:25" ht="18.5" x14ac:dyDescent="0.45">
      <c r="A43" s="1" t="s">
        <v>57</v>
      </c>
    </row>
    <row r="44" spans="1:25" x14ac:dyDescent="0.35">
      <c r="A44" s="2" t="s">
        <v>0</v>
      </c>
      <c r="C44" s="3"/>
    </row>
    <row r="45" spans="1:25" x14ac:dyDescent="0.35">
      <c r="A45" s="2" t="s">
        <v>1</v>
      </c>
    </row>
    <row r="46" spans="1:25" x14ac:dyDescent="0.35">
      <c r="A46" s="2" t="s">
        <v>2</v>
      </c>
    </row>
    <row r="47" spans="1:25" x14ac:dyDescent="0.35">
      <c r="A47" s="2" t="s">
        <v>3</v>
      </c>
      <c r="C47">
        <f>9.108+0.3-9.109</f>
        <v>0.29900000000000126</v>
      </c>
    </row>
    <row r="48" spans="1:25" x14ac:dyDescent="0.35">
      <c r="A48" s="2" t="s">
        <v>4</v>
      </c>
      <c r="C48">
        <f>AVERAGE(G62:G66)/(120*60)</f>
        <v>6.6330555555555554E-4</v>
      </c>
      <c r="E48">
        <f>10^(AVERAGE(X59:X68))</f>
        <v>1.0594242906475668E-16</v>
      </c>
    </row>
    <row r="49" spans="1:25" ht="15" thickBot="1" x14ac:dyDescent="0.4">
      <c r="A49" s="2" t="s">
        <v>5</v>
      </c>
      <c r="C49">
        <v>2140000</v>
      </c>
      <c r="E49">
        <f>E48*(C47*C49)*(D68*60*60)*296.89</f>
        <v>0.13374718654381715</v>
      </c>
    </row>
    <row r="50" spans="1:25" x14ac:dyDescent="0.35">
      <c r="A50" s="4" t="s">
        <v>6</v>
      </c>
      <c r="B50" s="5"/>
      <c r="C50" s="6">
        <f>AVERAGE(V66:V68)</f>
        <v>-16.070484247423583</v>
      </c>
    </row>
    <row r="51" spans="1:25" ht="15" thickBot="1" x14ac:dyDescent="0.4">
      <c r="A51" s="7" t="s">
        <v>7</v>
      </c>
      <c r="B51" s="8"/>
      <c r="C51" s="9">
        <f>AVERAGE(X66:X68)</f>
        <v>-16.157768681711843</v>
      </c>
    </row>
    <row r="52" spans="1:25" x14ac:dyDescent="0.35">
      <c r="A52" s="2"/>
    </row>
    <row r="53" spans="1:25" ht="15" thickBot="1" x14ac:dyDescent="0.4"/>
    <row r="54" spans="1:25" x14ac:dyDescent="0.35">
      <c r="A54" s="11" t="s">
        <v>8</v>
      </c>
      <c r="B54" s="12"/>
      <c r="C54" s="12"/>
      <c r="D54" s="12"/>
      <c r="E54" s="13" t="s">
        <v>9</v>
      </c>
      <c r="F54" s="13"/>
      <c r="G54" s="13"/>
      <c r="H54" s="14"/>
      <c r="I54" s="14"/>
      <c r="J54" s="14"/>
      <c r="K54" s="15" t="s">
        <v>10</v>
      </c>
      <c r="L54" s="15"/>
      <c r="M54" s="15"/>
      <c r="N54" s="16" t="s">
        <v>10</v>
      </c>
      <c r="O54" s="16"/>
      <c r="P54" s="16"/>
      <c r="Q54" s="17" t="s">
        <v>11</v>
      </c>
      <c r="R54" s="18"/>
      <c r="S54" s="18"/>
      <c r="T54" s="18"/>
      <c r="U54" s="19" t="s">
        <v>12</v>
      </c>
      <c r="V54" s="20"/>
      <c r="W54" s="20"/>
      <c r="X54" s="20"/>
      <c r="Y54" s="21"/>
    </row>
    <row r="55" spans="1:25" ht="15" thickBot="1" x14ac:dyDescent="0.4">
      <c r="A55" s="22" t="s">
        <v>13</v>
      </c>
      <c r="B55" s="23" t="s">
        <v>14</v>
      </c>
      <c r="C55" s="23" t="s">
        <v>15</v>
      </c>
      <c r="D55" s="23" t="s">
        <v>16</v>
      </c>
      <c r="E55" s="24" t="s">
        <v>17</v>
      </c>
      <c r="F55" s="24" t="s">
        <v>18</v>
      </c>
      <c r="G55" s="24" t="s">
        <v>19</v>
      </c>
      <c r="H55" s="24" t="s">
        <v>20</v>
      </c>
      <c r="I55" s="24" t="s">
        <v>21</v>
      </c>
      <c r="J55" s="24" t="s">
        <v>22</v>
      </c>
      <c r="K55" s="25" t="s">
        <v>21</v>
      </c>
      <c r="L55" s="25" t="s">
        <v>23</v>
      </c>
      <c r="M55" s="25" t="s">
        <v>24</v>
      </c>
      <c r="N55" s="26" t="s">
        <v>25</v>
      </c>
      <c r="O55" s="26" t="s">
        <v>26</v>
      </c>
      <c r="P55" s="26" t="s">
        <v>27</v>
      </c>
      <c r="Q55" s="28" t="s">
        <v>28</v>
      </c>
      <c r="R55" s="27" t="s">
        <v>29</v>
      </c>
      <c r="S55" s="27" t="s">
        <v>30</v>
      </c>
      <c r="T55" s="27" t="s">
        <v>31</v>
      </c>
      <c r="U55" s="29" t="s">
        <v>32</v>
      </c>
      <c r="V55" s="29" t="s">
        <v>33</v>
      </c>
      <c r="W55" s="29" t="s">
        <v>34</v>
      </c>
      <c r="X55" s="29" t="s">
        <v>35</v>
      </c>
      <c r="Y55" s="30" t="s">
        <v>36</v>
      </c>
    </row>
    <row r="56" spans="1:25" x14ac:dyDescent="0.35">
      <c r="A56" s="35">
        <v>1</v>
      </c>
      <c r="B56" s="32">
        <v>43712</v>
      </c>
      <c r="C56" s="47">
        <v>0.48958333333333331</v>
      </c>
      <c r="D56" s="37">
        <v>0</v>
      </c>
      <c r="E56" s="35">
        <v>4.9489999999999998</v>
      </c>
      <c r="F56" s="35">
        <v>10.595000000000001</v>
      </c>
      <c r="G56" s="31">
        <f t="shared" ref="G56:G68" si="15">F56-E56</f>
        <v>5.6460000000000008</v>
      </c>
      <c r="H56" s="35">
        <v>7.61</v>
      </c>
      <c r="I56" s="35">
        <v>2.5459999999999998</v>
      </c>
      <c r="J56" s="35">
        <v>2.8000000000000001E-2</v>
      </c>
      <c r="K56" s="35">
        <v>0.50900000000000001</v>
      </c>
      <c r="L56" s="35">
        <v>5.0259999999999998</v>
      </c>
      <c r="M56" s="31">
        <f t="shared" ref="M56:M68" si="16">((I56+J56)/I56)*(L56/K56)</f>
        <v>9.9828568871082481</v>
      </c>
      <c r="N56" s="35">
        <v>0.30499999999999999</v>
      </c>
      <c r="O56" s="35">
        <v>10.023</v>
      </c>
      <c r="P56" s="31">
        <f t="shared" ref="P56:P68" si="17">O56/N56</f>
        <v>32.862295081967211</v>
      </c>
      <c r="Q56">
        <v>2.0282900000000001</v>
      </c>
      <c r="R56" s="31">
        <f t="shared" ref="R56:R68" si="18">Q56/24.305*M56</f>
        <v>0.83308491238645499</v>
      </c>
      <c r="S56" s="35">
        <v>3.1446999999999998</v>
      </c>
      <c r="T56" s="31">
        <f t="shared" ref="T56:T68" si="19">S56/60.08*P56</f>
        <v>1.720074223439785</v>
      </c>
      <c r="U56" s="31">
        <f t="shared" ref="U56:U68" si="20">((($O$37-R56)*10^(-6))*$C$6)/($C$7*$C$5*4)</f>
        <v>1.4195085518390052E-16</v>
      </c>
      <c r="V56" s="31">
        <f t="shared" ref="V56:V68" si="21">LOG(U56)</f>
        <v>-15.847861986720158</v>
      </c>
      <c r="W56" s="31">
        <f t="shared" ref="W56:W68" si="22">((($Q$37-T56)*10^(-6))*$C$6)/($C$7*$C$5*6)</f>
        <v>1.2476883371374173E-16</v>
      </c>
      <c r="X56" s="31">
        <f t="shared" ref="X56:X68" si="23">LOG(W56)</f>
        <v>-15.903893884497464</v>
      </c>
      <c r="Y56" s="31">
        <f t="shared" ref="Y56:Y68" si="24">($Q$34-T56)/($O$34-R56)</f>
        <v>0.71895662247812875</v>
      </c>
    </row>
    <row r="57" spans="1:25" x14ac:dyDescent="0.35">
      <c r="A57" s="31">
        <v>2</v>
      </c>
      <c r="B57" s="32">
        <v>43713</v>
      </c>
      <c r="C57" s="47">
        <v>0.53125</v>
      </c>
      <c r="D57" s="37">
        <v>23</v>
      </c>
      <c r="E57" s="35">
        <v>4.9340000000000002</v>
      </c>
      <c r="F57" s="35">
        <v>10.278</v>
      </c>
      <c r="G57" s="31">
        <f t="shared" si="15"/>
        <v>5.3440000000000003</v>
      </c>
      <c r="H57" s="35">
        <v>7.31</v>
      </c>
      <c r="I57" s="35">
        <v>2.222</v>
      </c>
      <c r="J57" s="35">
        <v>2.8000000000000001E-2</v>
      </c>
      <c r="K57" s="35">
        <v>0.50900000000000001</v>
      </c>
      <c r="L57" s="35">
        <v>5.0049999999999999</v>
      </c>
      <c r="M57" s="31">
        <f t="shared" si="16"/>
        <v>9.9569141589993979</v>
      </c>
      <c r="N57" s="35">
        <v>0.30399999999999999</v>
      </c>
      <c r="O57" s="35">
        <v>10.039999999999999</v>
      </c>
      <c r="P57" s="31">
        <f t="shared" si="17"/>
        <v>33.026315789473685</v>
      </c>
      <c r="R57" s="31"/>
      <c r="S57" s="35">
        <v>2.4561999999999999</v>
      </c>
      <c r="T57" s="31">
        <f t="shared" si="19"/>
        <v>1.3501870313266522</v>
      </c>
      <c r="U57" s="31">
        <f t="shared" si="20"/>
        <v>3.5863872082993554E-16</v>
      </c>
      <c r="V57" s="31"/>
      <c r="W57" s="31">
        <f t="shared" si="22"/>
        <v>1.8890800688173789E-16</v>
      </c>
      <c r="X57" s="31">
        <f t="shared" si="23"/>
        <v>-15.72374963407996</v>
      </c>
      <c r="Y57" s="31">
        <f t="shared" si="24"/>
        <v>0.52496337299439866</v>
      </c>
    </row>
    <row r="58" spans="1:25" x14ac:dyDescent="0.35">
      <c r="A58" s="35">
        <v>3</v>
      </c>
      <c r="B58" s="32">
        <v>43719</v>
      </c>
      <c r="C58" s="47">
        <v>0.48958333333333331</v>
      </c>
      <c r="D58" s="37">
        <f>D57+24*6-1</f>
        <v>166</v>
      </c>
      <c r="E58" s="35">
        <v>4.9720000000000004</v>
      </c>
      <c r="F58" s="35">
        <v>10.249000000000001</v>
      </c>
      <c r="G58" s="31">
        <f t="shared" si="15"/>
        <v>5.2770000000000001</v>
      </c>
      <c r="H58" s="35">
        <v>7.42</v>
      </c>
      <c r="I58" s="35">
        <v>2.1720000000000002</v>
      </c>
      <c r="J58" s="35">
        <v>3.2000000000000001E-2</v>
      </c>
      <c r="K58" s="35">
        <v>0.50800000000000001</v>
      </c>
      <c r="L58" s="35">
        <v>5.0369999999999999</v>
      </c>
      <c r="M58" s="31">
        <f t="shared" si="16"/>
        <v>10.061436899116892</v>
      </c>
      <c r="N58" s="35">
        <v>0.30399999999999999</v>
      </c>
      <c r="O58" s="35">
        <v>10.047000000000001</v>
      </c>
      <c r="P58" s="31">
        <f t="shared" si="17"/>
        <v>33.049342105263158</v>
      </c>
      <c r="Q58">
        <v>2.65143</v>
      </c>
      <c r="R58" s="31">
        <f t="shared" si="18"/>
        <v>1.0976011371086403</v>
      </c>
      <c r="S58" s="35">
        <v>3.0827</v>
      </c>
      <c r="T58" s="31">
        <f t="shared" si="19"/>
        <v>1.6957591029942534</v>
      </c>
      <c r="U58" s="31">
        <f t="shared" si="20"/>
        <v>7.3149397719491882E-17</v>
      </c>
      <c r="V58" s="31">
        <f t="shared" si="21"/>
        <v>-16.135789245316907</v>
      </c>
      <c r="W58" s="31">
        <f t="shared" si="22"/>
        <v>1.289851238533031E-16</v>
      </c>
      <c r="X58" s="31">
        <f t="shared" si="23"/>
        <v>-15.889460374979569</v>
      </c>
      <c r="Y58" s="31">
        <f t="shared" si="24"/>
        <v>3.2974068112727877</v>
      </c>
    </row>
    <row r="59" spans="1:25" x14ac:dyDescent="0.35">
      <c r="A59" s="35">
        <v>4</v>
      </c>
      <c r="B59" s="32">
        <v>43726</v>
      </c>
      <c r="C59" s="47">
        <v>0.48958333333333331</v>
      </c>
      <c r="D59" s="37">
        <f>D58+7*24</f>
        <v>334</v>
      </c>
      <c r="E59" s="35">
        <v>4.9489999999999998</v>
      </c>
      <c r="F59" s="35">
        <v>12.112</v>
      </c>
      <c r="G59" s="31">
        <f t="shared" si="15"/>
        <v>7.1630000000000003</v>
      </c>
      <c r="H59" s="35">
        <v>8.1</v>
      </c>
      <c r="I59" s="35">
        <v>3.53</v>
      </c>
      <c r="J59" s="35">
        <v>3.1E-2</v>
      </c>
      <c r="K59" s="35">
        <v>0.503</v>
      </c>
      <c r="L59" s="35">
        <v>4.9720000000000004</v>
      </c>
      <c r="M59" s="31">
        <f t="shared" si="16"/>
        <v>9.9714979246335016</v>
      </c>
      <c r="N59" s="35">
        <v>0.30299999999999999</v>
      </c>
      <c r="O59" s="35">
        <v>9.9640000000000004</v>
      </c>
      <c r="P59" s="31">
        <f t="shared" si="17"/>
        <v>32.884488448844884</v>
      </c>
      <c r="Q59">
        <v>2.1665100000000002</v>
      </c>
      <c r="R59" s="31">
        <f t="shared" si="18"/>
        <v>0.88884385800031807</v>
      </c>
      <c r="S59" s="35">
        <v>3.2704</v>
      </c>
      <c r="T59" s="31">
        <f t="shared" si="19"/>
        <v>1.790037134206097</v>
      </c>
      <c r="U59" s="31">
        <f t="shared" si="20"/>
        <v>1.2744778744602681E-16</v>
      </c>
      <c r="V59" s="31">
        <f t="shared" si="21"/>
        <v>-15.894667699687238</v>
      </c>
      <c r="W59" s="31">
        <f t="shared" si="22"/>
        <v>1.1263712614273436E-16</v>
      </c>
      <c r="X59" s="31">
        <f t="shared" si="23"/>
        <v>-15.948318438779683</v>
      </c>
      <c r="Y59" s="31">
        <f t="shared" si="24"/>
        <v>0.61662628824944188</v>
      </c>
    </row>
    <row r="60" spans="1:25" x14ac:dyDescent="0.35">
      <c r="A60" s="31">
        <v>5</v>
      </c>
      <c r="B60" s="32">
        <v>43733</v>
      </c>
      <c r="C60" s="47">
        <v>0.48958333333333298</v>
      </c>
      <c r="D60" s="37">
        <f>D59+7*24</f>
        <v>502</v>
      </c>
      <c r="E60" s="35">
        <v>4.9669999999999996</v>
      </c>
      <c r="F60" s="35">
        <v>10.003</v>
      </c>
      <c r="G60" s="31">
        <f t="shared" si="15"/>
        <v>5.0360000000000005</v>
      </c>
      <c r="H60" s="35">
        <v>7.77</v>
      </c>
      <c r="I60" s="35">
        <v>2.641</v>
      </c>
      <c r="J60" s="35">
        <v>3.3000000000000002E-2</v>
      </c>
      <c r="K60" s="35">
        <v>0.504</v>
      </c>
      <c r="L60" s="35">
        <v>4.9880000000000004</v>
      </c>
      <c r="M60" s="31">
        <f t="shared" si="16"/>
        <v>10.020488872060247</v>
      </c>
      <c r="N60" s="35">
        <v>0.30099999999999999</v>
      </c>
      <c r="O60" s="35">
        <v>10.031000000000001</v>
      </c>
      <c r="P60" s="31">
        <f t="shared" si="17"/>
        <v>33.325581395348841</v>
      </c>
      <c r="Q60">
        <v>2.0651899999999999</v>
      </c>
      <c r="R60" s="31">
        <f t="shared" si="18"/>
        <v>0.85143852761530958</v>
      </c>
      <c r="S60" s="35">
        <v>2.9569999999999999</v>
      </c>
      <c r="T60" s="31">
        <f t="shared" si="19"/>
        <v>1.6402087913789367</v>
      </c>
      <c r="U60" s="31">
        <f t="shared" si="20"/>
        <v>1.3717702522767607E-16</v>
      </c>
      <c r="V60" s="31">
        <f t="shared" si="21"/>
        <v>-15.862718619331543</v>
      </c>
      <c r="W60" s="31">
        <f t="shared" si="22"/>
        <v>1.3861765812916193E-16</v>
      </c>
      <c r="X60" s="31">
        <f t="shared" si="23"/>
        <v>-15.85818144259882</v>
      </c>
      <c r="Y60" s="31">
        <f t="shared" si="24"/>
        <v>1.0015171025651692</v>
      </c>
    </row>
    <row r="61" spans="1:25" x14ac:dyDescent="0.35">
      <c r="A61" s="35">
        <v>6</v>
      </c>
      <c r="B61" s="32">
        <v>43741</v>
      </c>
      <c r="C61" s="47">
        <v>0.48958333333333298</v>
      </c>
      <c r="D61" s="37">
        <f>D60+8*24</f>
        <v>694</v>
      </c>
      <c r="E61" s="35">
        <v>4.9450000000000003</v>
      </c>
      <c r="F61" s="35">
        <v>10.298</v>
      </c>
      <c r="G61" s="31">
        <f t="shared" si="15"/>
        <v>5.3529999999999998</v>
      </c>
      <c r="H61" s="35">
        <v>7.6</v>
      </c>
      <c r="I61" s="35">
        <v>2.4990000000000001</v>
      </c>
      <c r="J61" s="35">
        <v>2.5999999999999999E-2</v>
      </c>
      <c r="K61" s="35">
        <v>0.503</v>
      </c>
      <c r="L61" s="35">
        <v>5.0019999999999998</v>
      </c>
      <c r="M61" s="31">
        <f t="shared" si="16"/>
        <v>10.047796454565919</v>
      </c>
      <c r="N61" s="35">
        <v>0.30199999999999999</v>
      </c>
      <c r="O61" s="35">
        <v>10.022</v>
      </c>
      <c r="P61" s="31">
        <f t="shared" si="17"/>
        <v>33.185430463576161</v>
      </c>
      <c r="Q61">
        <v>1.9911399999999999</v>
      </c>
      <c r="R61" s="31">
        <f t="shared" si="18"/>
        <v>0.82314624285309124</v>
      </c>
      <c r="S61" s="35">
        <v>2.8967999999999998</v>
      </c>
      <c r="T61" s="31">
        <f t="shared" si="19"/>
        <v>1.6000591705540514</v>
      </c>
      <c r="U61" s="31">
        <f t="shared" si="20"/>
        <v>1.445359327150452E-16</v>
      </c>
      <c r="V61" s="31">
        <f t="shared" si="21"/>
        <v>-15.840024170624416</v>
      </c>
      <c r="W61" s="31">
        <f t="shared" si="22"/>
        <v>1.4557968205868764E-16</v>
      </c>
      <c r="X61" s="31">
        <f t="shared" si="23"/>
        <v>-15.836899233440077</v>
      </c>
      <c r="Y61" s="31">
        <f t="shared" si="24"/>
        <v>1.0345513998673201</v>
      </c>
    </row>
    <row r="62" spans="1:25" x14ac:dyDescent="0.35">
      <c r="A62" s="35">
        <v>7</v>
      </c>
      <c r="B62" s="32">
        <v>43747</v>
      </c>
      <c r="C62" s="47">
        <v>0.48958333333333298</v>
      </c>
      <c r="D62" s="37">
        <f>D61+6*24</f>
        <v>838</v>
      </c>
      <c r="E62" s="35">
        <v>4.96</v>
      </c>
      <c r="F62" s="35">
        <v>9.6379999999999999</v>
      </c>
      <c r="G62" s="31">
        <f t="shared" si="15"/>
        <v>4.6779999999999999</v>
      </c>
      <c r="H62" s="35">
        <v>8.58</v>
      </c>
      <c r="I62" s="35">
        <v>4.5469999999999997</v>
      </c>
      <c r="J62" s="35">
        <v>2.5000000000000001E-2</v>
      </c>
      <c r="K62" s="35">
        <v>0.504</v>
      </c>
      <c r="L62" s="35">
        <v>4.9880000000000004</v>
      </c>
      <c r="M62" s="31">
        <f t="shared" si="16"/>
        <v>9.951239435734708</v>
      </c>
      <c r="N62" s="35">
        <v>0.30299999999999999</v>
      </c>
      <c r="O62" s="35">
        <v>9.9939999999999998</v>
      </c>
      <c r="P62" s="31">
        <f t="shared" si="17"/>
        <v>32.983498349834981</v>
      </c>
      <c r="Q62">
        <v>2.1204800000000001</v>
      </c>
      <c r="R62" s="31">
        <f t="shared" si="18"/>
        <v>0.86819190284660508</v>
      </c>
      <c r="S62" s="35">
        <v>3.0032000000000001</v>
      </c>
      <c r="T62" s="31">
        <f t="shared" si="19"/>
        <v>1.6487357231062654</v>
      </c>
      <c r="U62" s="31">
        <f t="shared" si="20"/>
        <v>1.3281942245842495E-16</v>
      </c>
      <c r="V62" s="31">
        <f t="shared" si="21"/>
        <v>-15.876738412545183</v>
      </c>
      <c r="W62" s="31">
        <f t="shared" si="22"/>
        <v>1.3713907124561412E-16</v>
      </c>
      <c r="X62" s="31">
        <f t="shared" si="23"/>
        <v>-15.862838796056808</v>
      </c>
      <c r="Y62" s="31">
        <f t="shared" si="24"/>
        <v>1.0279150148718394</v>
      </c>
    </row>
    <row r="63" spans="1:25" x14ac:dyDescent="0.35">
      <c r="A63" s="31">
        <v>8</v>
      </c>
      <c r="B63" s="32">
        <v>43754</v>
      </c>
      <c r="C63" s="47">
        <v>0.48958333333333298</v>
      </c>
      <c r="D63" s="37">
        <f t="shared" ref="D63:D68" si="25">D62+7*24</f>
        <v>1006</v>
      </c>
      <c r="E63" s="35">
        <v>4.9509999999999996</v>
      </c>
      <c r="F63" s="35">
        <v>10.031000000000001</v>
      </c>
      <c r="G63" s="31">
        <f t="shared" si="15"/>
        <v>5.080000000000001</v>
      </c>
      <c r="H63" s="35">
        <v>7.71</v>
      </c>
      <c r="I63" s="35">
        <v>2.4700000000000002</v>
      </c>
      <c r="J63" s="35">
        <v>3.1E-2</v>
      </c>
      <c r="K63" s="35">
        <v>0.504</v>
      </c>
      <c r="L63" s="35">
        <v>4.9939999999999998</v>
      </c>
      <c r="M63" s="31">
        <f t="shared" si="16"/>
        <v>10.033090739669687</v>
      </c>
      <c r="N63" s="35">
        <v>0.30199999999999999</v>
      </c>
      <c r="O63" s="35">
        <v>10.032</v>
      </c>
      <c r="P63" s="31">
        <f t="shared" si="17"/>
        <v>33.218543046357617</v>
      </c>
      <c r="Q63">
        <v>2.1645099999999999</v>
      </c>
      <c r="R63" s="31">
        <f t="shared" si="18"/>
        <v>0.89350854708588501</v>
      </c>
      <c r="S63" s="35">
        <v>3.0709</v>
      </c>
      <c r="T63" s="31">
        <f t="shared" si="19"/>
        <v>1.6979165086727632</v>
      </c>
      <c r="U63" s="31">
        <f t="shared" si="20"/>
        <v>1.2623448792898435E-16</v>
      </c>
      <c r="V63" s="31">
        <f t="shared" si="21"/>
        <v>-15.898821977334034</v>
      </c>
      <c r="W63" s="31">
        <f t="shared" si="22"/>
        <v>1.2861102542719364E-16</v>
      </c>
      <c r="X63" s="31">
        <f t="shared" si="23"/>
        <v>-15.890721799087205</v>
      </c>
      <c r="Y63" s="31">
        <f t="shared" si="24"/>
        <v>0.94730534823469936</v>
      </c>
    </row>
    <row r="64" spans="1:25" x14ac:dyDescent="0.35">
      <c r="A64" s="35">
        <v>9</v>
      </c>
      <c r="B64" s="32">
        <v>43761</v>
      </c>
      <c r="C64" s="47">
        <v>0.48958333333333298</v>
      </c>
      <c r="D64" s="37">
        <f t="shared" si="25"/>
        <v>1174</v>
      </c>
      <c r="E64" s="35">
        <v>4.9660000000000002</v>
      </c>
      <c r="F64" s="35">
        <v>9.4930000000000003</v>
      </c>
      <c r="G64" s="31">
        <f t="shared" si="15"/>
        <v>4.5270000000000001</v>
      </c>
      <c r="H64" s="35">
        <v>7.53</v>
      </c>
      <c r="I64" s="35">
        <v>2.5139999999999998</v>
      </c>
      <c r="J64" s="35">
        <v>3.1E-2</v>
      </c>
      <c r="K64" s="35">
        <v>0.504</v>
      </c>
      <c r="L64" s="35">
        <v>4.9829999999999997</v>
      </c>
      <c r="M64" s="31">
        <f t="shared" si="16"/>
        <v>10.00881965753684</v>
      </c>
      <c r="N64" s="35">
        <v>0.30099999999999999</v>
      </c>
      <c r="O64" s="35">
        <v>10.013</v>
      </c>
      <c r="P64" s="31">
        <f t="shared" si="17"/>
        <v>33.265780730897013</v>
      </c>
      <c r="Q64">
        <v>2.18384</v>
      </c>
      <c r="R64" s="31">
        <f t="shared" si="18"/>
        <v>0.89930716811007005</v>
      </c>
      <c r="S64" s="35">
        <v>3.1105999999999998</v>
      </c>
      <c r="T64" s="31">
        <f t="shared" si="19"/>
        <v>1.7223125423024011</v>
      </c>
      <c r="U64" s="31">
        <f t="shared" si="20"/>
        <v>1.2472624933920898E-16</v>
      </c>
      <c r="V64" s="31">
        <f t="shared" si="21"/>
        <v>-15.904042137191089</v>
      </c>
      <c r="W64" s="31">
        <f t="shared" si="22"/>
        <v>1.2438070478093292E-16</v>
      </c>
      <c r="X64" s="31">
        <f t="shared" si="23"/>
        <v>-15.905246986663814</v>
      </c>
      <c r="Y64" s="31">
        <f t="shared" si="24"/>
        <v>0.88014968960527229</v>
      </c>
    </row>
    <row r="65" spans="1:25" x14ac:dyDescent="0.35">
      <c r="A65" s="35">
        <v>10</v>
      </c>
      <c r="B65" s="32">
        <v>43768</v>
      </c>
      <c r="C65" s="47">
        <v>0.48958333333333298</v>
      </c>
      <c r="D65" s="37">
        <f t="shared" si="25"/>
        <v>1342</v>
      </c>
      <c r="E65" s="35">
        <v>4.9619999999999997</v>
      </c>
      <c r="F65" s="35">
        <v>9.6110000000000007</v>
      </c>
      <c r="G65" s="31">
        <f t="shared" si="15"/>
        <v>4.6490000000000009</v>
      </c>
      <c r="H65" s="35">
        <v>7.55</v>
      </c>
      <c r="I65" s="35">
        <v>2.3610000000000002</v>
      </c>
      <c r="J65" s="35">
        <v>2.8000000000000001E-2</v>
      </c>
      <c r="K65" s="51">
        <v>0.504</v>
      </c>
      <c r="L65" s="35">
        <v>4.9939999999999998</v>
      </c>
      <c r="M65" s="31">
        <f t="shared" si="16"/>
        <v>10.026241571031912</v>
      </c>
      <c r="N65" s="35">
        <v>0.30199999999999999</v>
      </c>
      <c r="O65" s="35">
        <v>10.013</v>
      </c>
      <c r="P65" s="31">
        <f t="shared" si="17"/>
        <v>33.15562913907285</v>
      </c>
      <c r="Q65">
        <v>2.35134</v>
      </c>
      <c r="R65" s="31">
        <f t="shared" si="18"/>
        <v>0.9699692596432905</v>
      </c>
      <c r="S65" s="35">
        <v>3.3107000000000002</v>
      </c>
      <c r="T65" s="31">
        <f t="shared" si="19"/>
        <v>1.8270363081013399</v>
      </c>
      <c r="U65" s="31">
        <f t="shared" si="20"/>
        <v>1.0634682898389774E-16</v>
      </c>
      <c r="V65" s="31">
        <f t="shared" si="21"/>
        <v>-15.973275455223657</v>
      </c>
      <c r="W65" s="31">
        <f t="shared" si="22"/>
        <v>1.0622139596299362E-16</v>
      </c>
      <c r="X65" s="31">
        <f t="shared" si="23"/>
        <v>-15.97378799537554</v>
      </c>
      <c r="Y65" s="31">
        <f t="shared" si="24"/>
        <v>0.67840892757860338</v>
      </c>
    </row>
    <row r="66" spans="1:25" x14ac:dyDescent="0.35">
      <c r="A66" s="31">
        <v>11</v>
      </c>
      <c r="B66" s="32">
        <v>43775</v>
      </c>
      <c r="C66" s="47">
        <v>0.48958333333333298</v>
      </c>
      <c r="D66" s="37">
        <f t="shared" si="25"/>
        <v>1510</v>
      </c>
      <c r="E66" s="35">
        <v>4.9539999999999997</v>
      </c>
      <c r="F66" s="35">
        <v>9.8989999999999991</v>
      </c>
      <c r="G66" s="31">
        <f t="shared" si="15"/>
        <v>4.9449999999999994</v>
      </c>
      <c r="H66" s="35">
        <v>7.53</v>
      </c>
      <c r="I66" s="35">
        <v>2.4260000000000002</v>
      </c>
      <c r="J66" s="35">
        <v>0.03</v>
      </c>
      <c r="K66" s="35">
        <v>0.505</v>
      </c>
      <c r="L66" s="35">
        <v>5.0129999999999999</v>
      </c>
      <c r="M66" s="31">
        <f t="shared" si="16"/>
        <v>10.049486993217045</v>
      </c>
      <c r="N66" s="35">
        <v>0.30199999999999999</v>
      </c>
      <c r="O66" s="35">
        <v>9.9760000000000009</v>
      </c>
      <c r="P66" s="31">
        <f t="shared" si="17"/>
        <v>33.033112582781463</v>
      </c>
      <c r="Q66">
        <v>2.3832800000000001</v>
      </c>
      <c r="R66" s="31">
        <f t="shared" si="18"/>
        <v>0.98542445427666403</v>
      </c>
      <c r="S66" s="35">
        <v>3.4624999999999999</v>
      </c>
      <c r="T66" s="31">
        <f t="shared" si="19"/>
        <v>1.9037475419088019</v>
      </c>
      <c r="U66" s="31">
        <f t="shared" si="20"/>
        <v>1.0232688685260124E-16</v>
      </c>
      <c r="V66" s="31">
        <f t="shared" si="21"/>
        <v>-15.990010238452859</v>
      </c>
      <c r="W66" s="31">
        <f t="shared" si="22"/>
        <v>9.291951578434018E-17</v>
      </c>
      <c r="X66" s="31">
        <f t="shared" si="23"/>
        <v>-16.031893062030832</v>
      </c>
      <c r="Y66" s="31">
        <f t="shared" si="24"/>
        <v>0.33941731489087473</v>
      </c>
    </row>
    <row r="67" spans="1:25" x14ac:dyDescent="0.35">
      <c r="A67" s="35">
        <v>12</v>
      </c>
      <c r="B67" s="50">
        <v>43782</v>
      </c>
      <c r="C67" s="47">
        <v>0.48958333333333298</v>
      </c>
      <c r="D67" s="37">
        <f t="shared" si="25"/>
        <v>1678</v>
      </c>
      <c r="E67" s="51">
        <v>4.9269999999999996</v>
      </c>
      <c r="F67" s="51">
        <v>9.5830000000000002</v>
      </c>
      <c r="G67" s="35">
        <f t="shared" si="15"/>
        <v>4.6560000000000006</v>
      </c>
      <c r="H67" s="51">
        <v>7.52</v>
      </c>
      <c r="I67" s="35">
        <v>2.387</v>
      </c>
      <c r="J67" s="35">
        <v>3.2000000000000001E-2</v>
      </c>
      <c r="K67" s="35">
        <v>0.51100000000000001</v>
      </c>
      <c r="L67" s="51">
        <v>5</v>
      </c>
      <c r="M67" s="49">
        <f t="shared" si="16"/>
        <v>9.9159094803309173</v>
      </c>
      <c r="N67" s="51">
        <v>0.3</v>
      </c>
      <c r="O67" s="35">
        <v>9.9879999999999995</v>
      </c>
      <c r="P67" s="49">
        <f t="shared" si="17"/>
        <v>33.293333333333337</v>
      </c>
      <c r="Q67">
        <v>2.5432199999999998</v>
      </c>
      <c r="R67" s="49">
        <f t="shared" si="18"/>
        <v>1.0375782476267104</v>
      </c>
      <c r="S67" s="35">
        <v>3.6766999999999999</v>
      </c>
      <c r="T67" s="49">
        <f t="shared" si="19"/>
        <v>2.0374433865956503</v>
      </c>
      <c r="U67" s="31">
        <f t="shared" si="20"/>
        <v>8.8761529950394461E-17</v>
      </c>
      <c r="V67" s="49">
        <f t="shared" si="21"/>
        <v>-16.051775220598575</v>
      </c>
      <c r="W67" s="31">
        <f t="shared" si="22"/>
        <v>6.9736390991015322E-17</v>
      </c>
      <c r="X67" s="49">
        <f t="shared" si="23"/>
        <v>-16.156540532056745</v>
      </c>
      <c r="Y67" s="49">
        <f t="shared" si="24"/>
        <v>-0.47054630045332063</v>
      </c>
    </row>
    <row r="68" spans="1:25" x14ac:dyDescent="0.35">
      <c r="A68" s="35">
        <v>13</v>
      </c>
      <c r="B68" s="38">
        <v>43789</v>
      </c>
      <c r="C68" s="47">
        <v>0.48958333333333298</v>
      </c>
      <c r="D68" s="37">
        <f t="shared" si="25"/>
        <v>1846</v>
      </c>
      <c r="E68" s="35">
        <v>4.9829999999999997</v>
      </c>
      <c r="F68" s="35">
        <v>9.01</v>
      </c>
      <c r="G68" s="35">
        <f t="shared" si="15"/>
        <v>4.0270000000000001</v>
      </c>
      <c r="H68" s="35">
        <v>7.6</v>
      </c>
      <c r="I68" s="39">
        <v>2.4380000000000002</v>
      </c>
      <c r="J68" s="35">
        <v>3.3000000000000002E-2</v>
      </c>
      <c r="K68" s="35">
        <v>0.505</v>
      </c>
      <c r="L68" s="35">
        <v>5.008</v>
      </c>
      <c r="M68" s="35">
        <f t="shared" si="16"/>
        <v>10.051062792907675</v>
      </c>
      <c r="N68" s="35">
        <v>0.30099999999999999</v>
      </c>
      <c r="O68" s="35">
        <v>9.9559999999999995</v>
      </c>
      <c r="P68" s="35">
        <f t="shared" si="17"/>
        <v>33.076411960132887</v>
      </c>
      <c r="Q68">
        <v>2.7052</v>
      </c>
      <c r="R68" s="35">
        <f t="shared" si="18"/>
        <v>1.1187054131813967</v>
      </c>
      <c r="S68" s="35">
        <v>3.8877000000000002</v>
      </c>
      <c r="T68" s="35">
        <f t="shared" si="19"/>
        <v>2.1403323365081333</v>
      </c>
      <c r="U68" s="31">
        <f t="shared" si="20"/>
        <v>6.766011268957775E-17</v>
      </c>
      <c r="V68" s="35">
        <f t="shared" si="21"/>
        <v>-16.169667283219322</v>
      </c>
      <c r="W68" s="31">
        <f t="shared" si="22"/>
        <v>5.1895242889051256E-17</v>
      </c>
      <c r="X68" s="35">
        <f t="shared" si="23"/>
        <v>-16.284872451047956</v>
      </c>
      <c r="Y68" s="35">
        <f t="shared" si="24"/>
        <v>-2.7427635775501895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E48BEB-504E-4B22-9092-AE3EA77EE438}">
  <dimension ref="A1:T60"/>
  <sheetViews>
    <sheetView workbookViewId="0">
      <selection activeCell="E8" sqref="E8"/>
    </sheetView>
  </sheetViews>
  <sheetFormatPr defaultColWidth="11.6328125" defaultRowHeight="14.5" x14ac:dyDescent="0.35"/>
  <cols>
    <col min="7" max="7" width="19.26953125" bestFit="1" customWidth="1"/>
    <col min="10" max="10" width="13.453125" bestFit="1" customWidth="1"/>
    <col min="11" max="11" width="18.36328125" bestFit="1" customWidth="1"/>
    <col min="12" max="12" width="16.36328125" bestFit="1" customWidth="1"/>
    <col min="15" max="15" width="13.81640625" bestFit="1" customWidth="1"/>
    <col min="16" max="16" width="19.6328125" bestFit="1" customWidth="1"/>
    <col min="17" max="17" width="23.08984375" bestFit="1" customWidth="1"/>
    <col min="18" max="18" width="18.36328125" bestFit="1" customWidth="1"/>
    <col min="19" max="19" width="21.81640625" bestFit="1" customWidth="1"/>
    <col min="20" max="20" width="19.6328125" bestFit="1" customWidth="1"/>
    <col min="21" max="21" width="23.08984375" bestFit="1" customWidth="1"/>
    <col min="22" max="22" width="18.36328125" bestFit="1" customWidth="1"/>
    <col min="23" max="23" width="21.81640625" bestFit="1" customWidth="1"/>
    <col min="24" max="24" width="11.453125" bestFit="1" customWidth="1"/>
  </cols>
  <sheetData>
    <row r="1" spans="1:20" ht="18.5" x14ac:dyDescent="0.45">
      <c r="A1" s="1" t="s">
        <v>62</v>
      </c>
    </row>
    <row r="2" spans="1:20" x14ac:dyDescent="0.35">
      <c r="A2" s="2" t="s">
        <v>0</v>
      </c>
      <c r="C2" s="3"/>
    </row>
    <row r="3" spans="1:20" x14ac:dyDescent="0.35">
      <c r="A3" s="2" t="s">
        <v>1</v>
      </c>
    </row>
    <row r="4" spans="1:20" x14ac:dyDescent="0.35">
      <c r="A4" s="2" t="s">
        <v>2</v>
      </c>
    </row>
    <row r="5" spans="1:20" x14ac:dyDescent="0.35">
      <c r="A5" s="2" t="s">
        <v>3</v>
      </c>
      <c r="C5">
        <f>9.108+0.8346-9.146</f>
        <v>0.79659999999999975</v>
      </c>
    </row>
    <row r="6" spans="1:20" x14ac:dyDescent="0.35">
      <c r="A6" s="2" t="s">
        <v>4</v>
      </c>
      <c r="C6">
        <f>AVERAGE(G20:G25)/(20*60)</f>
        <v>9.6220833333333332E-3</v>
      </c>
    </row>
    <row r="7" spans="1:20" ht="15" thickBot="1" x14ac:dyDescent="0.4">
      <c r="A7" s="2" t="s">
        <v>5</v>
      </c>
      <c r="C7">
        <v>2140000</v>
      </c>
    </row>
    <row r="8" spans="1:20" x14ac:dyDescent="0.35">
      <c r="A8" s="4" t="s">
        <v>6</v>
      </c>
      <c r="B8" s="5"/>
      <c r="C8" s="6">
        <f>AVERAGE(Q27:Q27)</f>
        <v>-16.464880227448717</v>
      </c>
    </row>
    <row r="9" spans="1:20" ht="15" thickBot="1" x14ac:dyDescent="0.4">
      <c r="A9" s="7" t="s">
        <v>7</v>
      </c>
      <c r="B9" s="8"/>
      <c r="C9" s="9">
        <f>AVERAGE(S26:S27)</f>
        <v>-16.367052589469623</v>
      </c>
    </row>
    <row r="11" spans="1:20" x14ac:dyDescent="0.35">
      <c r="A11" s="56" t="s">
        <v>8</v>
      </c>
      <c r="B11" s="57"/>
      <c r="C11" s="57"/>
      <c r="D11" s="57"/>
      <c r="E11" s="58" t="s">
        <v>9</v>
      </c>
      <c r="F11" s="58"/>
      <c r="G11" s="58"/>
      <c r="H11" s="59"/>
      <c r="I11" s="59"/>
      <c r="J11" s="59"/>
      <c r="K11" s="60" t="s">
        <v>10</v>
      </c>
      <c r="L11" s="61" t="s">
        <v>11</v>
      </c>
      <c r="M11" s="62"/>
      <c r="N11" s="62"/>
      <c r="O11" s="62"/>
      <c r="P11" s="63" t="s">
        <v>12</v>
      </c>
      <c r="Q11" s="64"/>
      <c r="R11" s="64"/>
      <c r="S11" s="64"/>
      <c r="T11" s="64"/>
    </row>
    <row r="12" spans="1:20" x14ac:dyDescent="0.35">
      <c r="A12" s="65" t="s">
        <v>13</v>
      </c>
      <c r="B12" s="65" t="s">
        <v>14</v>
      </c>
      <c r="C12" s="65" t="s">
        <v>15</v>
      </c>
      <c r="D12" s="65" t="s">
        <v>16</v>
      </c>
      <c r="E12" s="66" t="s">
        <v>17</v>
      </c>
      <c r="F12" s="66" t="s">
        <v>18</v>
      </c>
      <c r="G12" s="66" t="s">
        <v>59</v>
      </c>
      <c r="H12" s="66" t="s">
        <v>20</v>
      </c>
      <c r="I12" s="66" t="s">
        <v>21</v>
      </c>
      <c r="J12" s="66" t="s">
        <v>22</v>
      </c>
      <c r="K12" s="67" t="s">
        <v>60</v>
      </c>
      <c r="L12" s="28" t="s">
        <v>28</v>
      </c>
      <c r="M12" s="28" t="s">
        <v>29</v>
      </c>
      <c r="N12" s="28" t="s">
        <v>30</v>
      </c>
      <c r="O12" s="28" t="s">
        <v>31</v>
      </c>
      <c r="P12" s="68" t="s">
        <v>32</v>
      </c>
      <c r="Q12" s="68" t="s">
        <v>33</v>
      </c>
      <c r="R12" s="68" t="s">
        <v>34</v>
      </c>
      <c r="S12" s="68" t="s">
        <v>35</v>
      </c>
      <c r="T12" s="64" t="s">
        <v>36</v>
      </c>
    </row>
    <row r="13" spans="1:20" x14ac:dyDescent="0.35">
      <c r="A13" s="31">
        <v>0</v>
      </c>
      <c r="B13" s="32">
        <v>43605</v>
      </c>
      <c r="C13" s="33">
        <v>0.38194444444444442</v>
      </c>
      <c r="D13" s="34">
        <v>0</v>
      </c>
      <c r="E13" s="31"/>
      <c r="F13" s="31"/>
      <c r="G13" s="31"/>
      <c r="H13" s="31">
        <v>8.02</v>
      </c>
      <c r="I13" s="31">
        <v>4.3079999999999998</v>
      </c>
      <c r="J13" s="31">
        <v>7.3999999999999996E-2</v>
      </c>
      <c r="K13" s="31">
        <f>(J13+I13)/I13</f>
        <v>1.0171773444753947</v>
      </c>
      <c r="L13" s="31">
        <v>0</v>
      </c>
      <c r="M13" s="31">
        <f>L13/24.305</f>
        <v>0</v>
      </c>
      <c r="N13">
        <v>-0.15229999999999999</v>
      </c>
      <c r="O13" s="31">
        <f>N13/60.08</f>
        <v>-2.5349533954727031E-3</v>
      </c>
      <c r="P13" s="31">
        <f>(M13*10^(-6)*$C$6)/($C$5*$C$7*4)</f>
        <v>0</v>
      </c>
      <c r="Q13" s="31" t="e">
        <f>LOG(P13)</f>
        <v>#NUM!</v>
      </c>
      <c r="R13" s="31">
        <f>(O13*10^(-6)*$C$6)/($C$5*$C$7*6)</f>
        <v>-2.3847000860896587E-18</v>
      </c>
      <c r="S13" s="31" t="e">
        <f>LOG(R13)</f>
        <v>#NUM!</v>
      </c>
      <c r="T13" s="31" t="e">
        <f>O13/M13</f>
        <v>#DIV/0!</v>
      </c>
    </row>
    <row r="14" spans="1:20" x14ac:dyDescent="0.35">
      <c r="A14" s="35">
        <v>1</v>
      </c>
      <c r="B14" s="38">
        <v>43605</v>
      </c>
      <c r="C14" s="33">
        <v>0.3888888888888889</v>
      </c>
      <c r="D14" s="34">
        <f>10/60</f>
        <v>0.16666666666666666</v>
      </c>
      <c r="E14" s="31">
        <v>6.62</v>
      </c>
      <c r="F14" s="35">
        <v>15.778</v>
      </c>
      <c r="G14" s="35">
        <f>F14-E14</f>
        <v>9.1580000000000013</v>
      </c>
      <c r="H14" s="35">
        <v>7.78</v>
      </c>
      <c r="I14" s="35">
        <v>4.0179999999999998</v>
      </c>
      <c r="J14" s="31">
        <v>0.08</v>
      </c>
      <c r="K14" s="31">
        <f t="shared" ref="K14:K27" si="0">(J14+I14)/I14</f>
        <v>1.0199104031856645</v>
      </c>
      <c r="L14" s="35">
        <v>0.42599500000000001</v>
      </c>
      <c r="M14" s="31">
        <f t="shared" ref="M14:M27" si="1">L14/24.305</f>
        <v>1.752705204690393E-2</v>
      </c>
      <c r="N14" s="35">
        <v>1.044</v>
      </c>
      <c r="O14" s="31">
        <f t="shared" ref="O14:O27" si="2">N14/60.08</f>
        <v>1.737683089214381E-2</v>
      </c>
      <c r="P14" s="31">
        <f>(M14*10^(-6)*$C$6)/($C$5*$C$7*4)</f>
        <v>2.4732266833660498E-17</v>
      </c>
      <c r="Q14" s="31">
        <f t="shared" ref="Q14:Q27" si="3">LOG(P14)</f>
        <v>-16.606736076593297</v>
      </c>
      <c r="R14" s="31">
        <f t="shared" ref="R14:R27" si="4">(O14*10^(-6)*$C$6)/($C$5*$C$7*6)</f>
        <v>1.6346860734587024E-17</v>
      </c>
      <c r="S14" s="31">
        <f t="shared" ref="S14:S27" si="5">LOG(R14)</f>
        <v>-16.786565637288017</v>
      </c>
      <c r="T14" s="31">
        <f t="shared" ref="T14:T27" si="6">O14/M14</f>
        <v>0.99142918305040029</v>
      </c>
    </row>
    <row r="15" spans="1:20" x14ac:dyDescent="0.35">
      <c r="A15" s="35">
        <v>2</v>
      </c>
      <c r="B15" s="32">
        <v>43605</v>
      </c>
      <c r="C15" s="33">
        <v>0.45833333333333331</v>
      </c>
      <c r="D15" s="37">
        <f>2-10/60</f>
        <v>1.8333333333333333</v>
      </c>
      <c r="E15" s="31">
        <v>6.7</v>
      </c>
      <c r="F15" s="35">
        <v>18.864999999999998</v>
      </c>
      <c r="G15" s="35">
        <f t="shared" ref="G15:G27" si="7">F15-E15</f>
        <v>12.164999999999999</v>
      </c>
      <c r="H15" s="35">
        <v>7.84</v>
      </c>
      <c r="I15" s="35">
        <v>5.9960000000000004</v>
      </c>
      <c r="J15" s="35">
        <v>8.5999999999999993E-2</v>
      </c>
      <c r="K15" s="31">
        <f t="shared" si="0"/>
        <v>1.014342895263509</v>
      </c>
      <c r="L15" s="35">
        <v>0.77329700000000001</v>
      </c>
      <c r="M15" s="31">
        <f t="shared" si="1"/>
        <v>3.1816375231433859E-2</v>
      </c>
      <c r="N15" s="35">
        <v>2.7694999999999999</v>
      </c>
      <c r="O15" s="31">
        <f t="shared" si="2"/>
        <v>4.609687083888149E-2</v>
      </c>
      <c r="P15" s="31">
        <f t="shared" ref="P15:P27" si="8">(M15*10^(-6)*$C$6)/($C$5*$C$7*4)</f>
        <v>4.4895803344333047E-17</v>
      </c>
      <c r="Q15" s="31">
        <f t="shared" si="3"/>
        <v>-16.347794252973948</v>
      </c>
      <c r="R15" s="31">
        <f t="shared" si="4"/>
        <v>4.3364588893140577E-17</v>
      </c>
      <c r="S15" s="31">
        <f t="shared" si="5"/>
        <v>-16.36286476647156</v>
      </c>
      <c r="T15" s="31">
        <f t="shared" si="6"/>
        <v>1.4488410607295963</v>
      </c>
    </row>
    <row r="16" spans="1:20" x14ac:dyDescent="0.35">
      <c r="A16" s="31">
        <v>3</v>
      </c>
      <c r="B16" s="38">
        <v>43605</v>
      </c>
      <c r="C16" s="33">
        <v>0.54166666666666663</v>
      </c>
      <c r="D16" s="37">
        <f>D15+2</f>
        <v>3.833333333333333</v>
      </c>
      <c r="E16" s="35">
        <v>6.64</v>
      </c>
      <c r="F16" s="35">
        <v>19.065000000000001</v>
      </c>
      <c r="G16" s="35">
        <f t="shared" si="7"/>
        <v>12.425000000000001</v>
      </c>
      <c r="H16" s="35">
        <v>7.89</v>
      </c>
      <c r="I16" s="35">
        <v>5.556</v>
      </c>
      <c r="J16" s="35">
        <v>8.1000000000000003E-2</v>
      </c>
      <c r="K16" s="31">
        <f t="shared" si="0"/>
        <v>1.0145788336933046</v>
      </c>
      <c r="L16" s="35">
        <v>0.92188599999999998</v>
      </c>
      <c r="M16" s="31">
        <f t="shared" si="1"/>
        <v>3.7929890968936432E-2</v>
      </c>
      <c r="N16" s="35">
        <v>3.7654999999999998</v>
      </c>
      <c r="O16" s="31">
        <f t="shared" si="2"/>
        <v>6.2674766977363516E-2</v>
      </c>
      <c r="P16" s="31">
        <f t="shared" si="8"/>
        <v>5.3522530879977316E-17</v>
      </c>
      <c r="Q16" s="31">
        <f t="shared" si="3"/>
        <v>-16.2714633585956</v>
      </c>
      <c r="R16" s="31">
        <f t="shared" si="4"/>
        <v>5.8959869823838558E-17</v>
      </c>
      <c r="S16" s="31">
        <f t="shared" si="5"/>
        <v>-16.229443484016898</v>
      </c>
      <c r="T16" s="31">
        <f t="shared" si="6"/>
        <v>1.6523845805065054</v>
      </c>
    </row>
    <row r="17" spans="1:20" x14ac:dyDescent="0.35">
      <c r="A17" s="35">
        <v>4</v>
      </c>
      <c r="B17" s="32">
        <v>43605</v>
      </c>
      <c r="C17" s="36">
        <v>0.66666666666666663</v>
      </c>
      <c r="D17" s="37">
        <f>D16+3</f>
        <v>6.833333333333333</v>
      </c>
      <c r="E17" s="35">
        <v>6.5720000000000001</v>
      </c>
      <c r="F17" s="35">
        <v>19.148</v>
      </c>
      <c r="G17" s="35">
        <f t="shared" si="7"/>
        <v>12.576000000000001</v>
      </c>
      <c r="H17" s="35">
        <v>7.92</v>
      </c>
      <c r="I17" s="35">
        <v>4.9930000000000003</v>
      </c>
      <c r="J17" s="35">
        <v>7.8E-2</v>
      </c>
      <c r="K17" s="31">
        <f t="shared" si="0"/>
        <v>1.0156218706188664</v>
      </c>
      <c r="L17" s="35">
        <v>0.79887399999999997</v>
      </c>
      <c r="M17" s="31">
        <f t="shared" si="1"/>
        <v>3.2868710141946103E-2</v>
      </c>
      <c r="N17" s="35">
        <v>3.4643999999999999</v>
      </c>
      <c r="O17" s="31">
        <f t="shared" si="2"/>
        <v>5.7663115845539278E-2</v>
      </c>
      <c r="P17" s="31">
        <f t="shared" si="8"/>
        <v>4.6380743751625475E-17</v>
      </c>
      <c r="Q17" s="31">
        <f t="shared" si="3"/>
        <v>-16.333662291389341</v>
      </c>
      <c r="R17" s="31">
        <f t="shared" si="4"/>
        <v>5.4245272345692805E-17</v>
      </c>
      <c r="S17" s="31">
        <f t="shared" si="5"/>
        <v>-16.265638106025914</v>
      </c>
      <c r="T17" s="31">
        <f t="shared" si="6"/>
        <v>1.7543467813770783</v>
      </c>
    </row>
    <row r="18" spans="1:20" x14ac:dyDescent="0.35">
      <c r="A18" s="35">
        <v>5</v>
      </c>
      <c r="B18" s="38">
        <v>43605</v>
      </c>
      <c r="C18" s="36">
        <v>0.79166666666666663</v>
      </c>
      <c r="D18" s="37">
        <f>D17+3</f>
        <v>9.8333333333333321</v>
      </c>
      <c r="E18" s="35">
        <v>6.6289999999999996</v>
      </c>
      <c r="F18" s="35">
        <v>18.847000000000001</v>
      </c>
      <c r="G18" s="35">
        <f t="shared" si="7"/>
        <v>12.218000000000002</v>
      </c>
      <c r="H18" s="35">
        <v>8.02</v>
      </c>
      <c r="I18" s="35">
        <v>5.6970000000000001</v>
      </c>
      <c r="J18" s="35">
        <v>7.6999999999999999E-2</v>
      </c>
      <c r="K18" s="31">
        <f t="shared" si="0"/>
        <v>1.0135158855538002</v>
      </c>
      <c r="L18" s="35">
        <v>0.79138299999999995</v>
      </c>
      <c r="M18" s="31">
        <f t="shared" si="1"/>
        <v>3.2560501954330384E-2</v>
      </c>
      <c r="N18" s="35">
        <v>3.3757999999999999</v>
      </c>
      <c r="O18" s="31">
        <f t="shared" si="2"/>
        <v>5.6188415446071907E-2</v>
      </c>
      <c r="P18" s="31">
        <f t="shared" si="8"/>
        <v>4.5945833926742669E-17</v>
      </c>
      <c r="Q18" s="31">
        <f t="shared" si="3"/>
        <v>-16.337753861528192</v>
      </c>
      <c r="R18" s="31">
        <f t="shared" si="4"/>
        <v>5.2857981291014256E-17</v>
      </c>
      <c r="S18" s="31">
        <f t="shared" si="5"/>
        <v>-16.276889427108852</v>
      </c>
      <c r="T18" s="31">
        <f t="shared" si="6"/>
        <v>1.7256618317764947</v>
      </c>
    </row>
    <row r="19" spans="1:20" x14ac:dyDescent="0.35">
      <c r="A19" s="31">
        <v>6</v>
      </c>
      <c r="B19" s="32">
        <v>43606</v>
      </c>
      <c r="C19" s="36">
        <v>0.38194444444444442</v>
      </c>
      <c r="D19" s="37">
        <f>24</f>
        <v>24</v>
      </c>
      <c r="E19" s="35">
        <v>6.6840000000000002</v>
      </c>
      <c r="F19" s="35">
        <v>18.379000000000001</v>
      </c>
      <c r="G19" s="35">
        <f t="shared" si="7"/>
        <v>11.695</v>
      </c>
      <c r="H19" s="35">
        <v>7.98</v>
      </c>
      <c r="I19" s="35">
        <v>4.96</v>
      </c>
      <c r="J19" s="35">
        <v>6.0999999999999999E-2</v>
      </c>
      <c r="K19" s="31">
        <f t="shared" si="0"/>
        <v>1.0122983870967741</v>
      </c>
      <c r="L19" s="35">
        <v>0.75379099999999999</v>
      </c>
      <c r="M19" s="31">
        <f t="shared" si="1"/>
        <v>3.1013824315984366E-2</v>
      </c>
      <c r="N19" s="35">
        <v>3.2709999999999999</v>
      </c>
      <c r="O19" s="31">
        <f t="shared" si="2"/>
        <v>5.4444074567243678E-2</v>
      </c>
      <c r="P19" s="31">
        <f t="shared" si="8"/>
        <v>4.3763330904850476E-17</v>
      </c>
      <c r="Q19" s="31">
        <f t="shared" si="3"/>
        <v>-16.358889630492186</v>
      </c>
      <c r="R19" s="31">
        <f t="shared" si="4"/>
        <v>5.121703205252314E-17</v>
      </c>
      <c r="S19" s="31">
        <f t="shared" si="5"/>
        <v>-16.290585591829281</v>
      </c>
      <c r="T19" s="31">
        <f t="shared" si="6"/>
        <v>1.755477622254521</v>
      </c>
    </row>
    <row r="20" spans="1:20" x14ac:dyDescent="0.35">
      <c r="A20" s="35">
        <v>7</v>
      </c>
      <c r="B20" s="32">
        <v>43606</v>
      </c>
      <c r="C20" s="36">
        <v>0.45833333333333331</v>
      </c>
      <c r="D20" s="37">
        <f>D15+24</f>
        <v>25.833333333333332</v>
      </c>
      <c r="E20" s="35">
        <v>6.6689999999999996</v>
      </c>
      <c r="F20" s="35">
        <v>18.117000000000001</v>
      </c>
      <c r="G20" s="35">
        <f t="shared" si="7"/>
        <v>11.448</v>
      </c>
      <c r="H20" s="35">
        <v>7.94</v>
      </c>
      <c r="I20" s="35">
        <v>5.4059999999999997</v>
      </c>
      <c r="J20" s="35">
        <v>6.3E-2</v>
      </c>
      <c r="K20" s="31">
        <f t="shared" si="0"/>
        <v>1.0116537180910099</v>
      </c>
      <c r="L20" s="35">
        <v>0.69971300000000003</v>
      </c>
      <c r="M20" s="31">
        <f t="shared" si="1"/>
        <v>2.8788850030857849E-2</v>
      </c>
      <c r="N20" s="35">
        <v>3.0670999999999999</v>
      </c>
      <c r="O20" s="31">
        <f t="shared" si="2"/>
        <v>5.1050266311584554E-2</v>
      </c>
      <c r="P20" s="31">
        <f t="shared" si="8"/>
        <v>4.0623689533870321E-17</v>
      </c>
      <c r="Q20" s="31">
        <f t="shared" si="3"/>
        <v>-16.391220635548784</v>
      </c>
      <c r="R20" s="31">
        <f t="shared" si="4"/>
        <v>4.8024383677252746E-17</v>
      </c>
      <c r="S20" s="31">
        <f t="shared" si="5"/>
        <v>-16.31853819996519</v>
      </c>
      <c r="T20" s="31">
        <f t="shared" si="6"/>
        <v>1.7732652140278409</v>
      </c>
    </row>
    <row r="21" spans="1:20" x14ac:dyDescent="0.35">
      <c r="A21" s="35">
        <v>8</v>
      </c>
      <c r="B21" s="32">
        <v>43606</v>
      </c>
      <c r="C21" s="36">
        <v>0.54166666666666663</v>
      </c>
      <c r="D21" s="37">
        <f>D20+2</f>
        <v>27.833333333333332</v>
      </c>
      <c r="E21" s="35">
        <v>6.6689999999999996</v>
      </c>
      <c r="F21" s="35">
        <v>18.605</v>
      </c>
      <c r="G21" s="35">
        <f t="shared" si="7"/>
        <v>11.936</v>
      </c>
      <c r="H21" s="35">
        <v>7.9</v>
      </c>
      <c r="I21" s="35">
        <v>5.6379999999999999</v>
      </c>
      <c r="J21" s="35">
        <v>6.0999999999999999E-2</v>
      </c>
      <c r="K21" s="31">
        <f t="shared" si="0"/>
        <v>1.0108194395175594</v>
      </c>
      <c r="L21" s="35">
        <v>0.66692700000000005</v>
      </c>
      <c r="M21" s="31">
        <f t="shared" si="1"/>
        <v>2.7439909483645344E-2</v>
      </c>
      <c r="N21" s="35">
        <v>3.0234999999999999</v>
      </c>
      <c r="O21" s="31">
        <f t="shared" si="2"/>
        <v>5.0324567243675102E-2</v>
      </c>
      <c r="P21" s="31">
        <f t="shared" si="8"/>
        <v>3.8720211557818045E-17</v>
      </c>
      <c r="Q21" s="31">
        <f t="shared" si="3"/>
        <v>-16.412062278477745</v>
      </c>
      <c r="R21" s="31">
        <f t="shared" si="4"/>
        <v>4.734169868872018E-17</v>
      </c>
      <c r="S21" s="31">
        <f t="shared" si="5"/>
        <v>-16.324756163012299</v>
      </c>
      <c r="T21" s="31">
        <f t="shared" si="6"/>
        <v>1.8339917365131764</v>
      </c>
    </row>
    <row r="22" spans="1:20" x14ac:dyDescent="0.35">
      <c r="A22" s="31">
        <v>9</v>
      </c>
      <c r="B22" s="32">
        <v>43606</v>
      </c>
      <c r="C22" s="36">
        <v>0.625</v>
      </c>
      <c r="D22" s="37">
        <f t="shared" ref="D22:D24" si="9">D21+2</f>
        <v>29.833333333333332</v>
      </c>
      <c r="E22" s="35">
        <v>6.6429999999999998</v>
      </c>
      <c r="F22" s="35">
        <v>18.605</v>
      </c>
      <c r="G22" s="35">
        <f t="shared" si="7"/>
        <v>11.962</v>
      </c>
      <c r="H22" s="35">
        <v>7.94</v>
      </c>
      <c r="I22" s="35">
        <v>5.556</v>
      </c>
      <c r="J22" s="35">
        <v>0.08</v>
      </c>
      <c r="K22" s="31">
        <f t="shared" si="0"/>
        <v>1.0143988480921526</v>
      </c>
      <c r="L22" s="35">
        <v>0.65298599999999996</v>
      </c>
      <c r="M22" s="31">
        <f t="shared" si="1"/>
        <v>2.6866323801686895E-2</v>
      </c>
      <c r="N22" s="35">
        <v>2.9887000000000001</v>
      </c>
      <c r="O22" s="31">
        <f t="shared" si="2"/>
        <v>4.9745339547270312E-2</v>
      </c>
      <c r="P22" s="31">
        <f t="shared" si="8"/>
        <v>3.7910829917357318E-17</v>
      </c>
      <c r="Q22" s="31">
        <f t="shared" si="3"/>
        <v>-16.421236708198638</v>
      </c>
      <c r="R22" s="31">
        <f t="shared" si="4"/>
        <v>4.6796803330900616E-17</v>
      </c>
      <c r="S22" s="31">
        <f t="shared" si="5"/>
        <v>-16.329783812378146</v>
      </c>
      <c r="T22" s="31">
        <f t="shared" si="6"/>
        <v>1.8515871361658671</v>
      </c>
    </row>
    <row r="23" spans="1:20" x14ac:dyDescent="0.35">
      <c r="A23" s="35">
        <v>10</v>
      </c>
      <c r="B23" s="32">
        <v>43606</v>
      </c>
      <c r="C23" s="36">
        <v>0.70833333333333337</v>
      </c>
      <c r="D23" s="37">
        <f t="shared" si="9"/>
        <v>31.833333333333332</v>
      </c>
      <c r="E23" s="35">
        <v>6.6459999999999999</v>
      </c>
      <c r="F23" s="35">
        <v>18.692</v>
      </c>
      <c r="G23" s="35">
        <f t="shared" si="7"/>
        <v>12.045999999999999</v>
      </c>
      <c r="H23" s="35">
        <v>7.93</v>
      </c>
      <c r="I23" s="35">
        <v>5.6280000000000001</v>
      </c>
      <c r="J23" s="35">
        <v>6.6000000000000003E-2</v>
      </c>
      <c r="K23" s="31">
        <f t="shared" si="0"/>
        <v>1.011727078891258</v>
      </c>
      <c r="L23" s="35">
        <v>0.65988899999999995</v>
      </c>
      <c r="M23" s="31">
        <f t="shared" si="1"/>
        <v>2.7150339436329971E-2</v>
      </c>
      <c r="N23" s="35">
        <v>2.9674</v>
      </c>
      <c r="O23" s="31">
        <f t="shared" si="2"/>
        <v>4.9390812250332893E-2</v>
      </c>
      <c r="P23" s="31">
        <f t="shared" si="8"/>
        <v>3.831160184649442E-17</v>
      </c>
      <c r="Q23" s="31">
        <f t="shared" si="3"/>
        <v>-16.416669689349479</v>
      </c>
      <c r="R23" s="31">
        <f t="shared" si="4"/>
        <v>4.6463289792924851E-17</v>
      </c>
      <c r="S23" s="31">
        <f t="shared" si="5"/>
        <v>-16.332890043603101</v>
      </c>
      <c r="T23" s="31">
        <f t="shared" si="6"/>
        <v>1.8191600280415965</v>
      </c>
    </row>
    <row r="24" spans="1:20" x14ac:dyDescent="0.35">
      <c r="A24" s="35">
        <v>11</v>
      </c>
      <c r="B24" s="32">
        <v>43606</v>
      </c>
      <c r="C24" s="36">
        <v>0.79166666666666663</v>
      </c>
      <c r="D24" s="37">
        <f t="shared" si="9"/>
        <v>33.833333333333329</v>
      </c>
      <c r="E24" s="35">
        <v>6.65</v>
      </c>
      <c r="F24" s="35">
        <v>19.146000000000001</v>
      </c>
      <c r="G24" s="35">
        <f t="shared" si="7"/>
        <v>12.496</v>
      </c>
      <c r="H24" s="35">
        <v>7.92</v>
      </c>
      <c r="I24" s="35">
        <v>5.8849999999999998</v>
      </c>
      <c r="J24" s="35">
        <v>7.8E-2</v>
      </c>
      <c r="K24" s="31">
        <f t="shared" si="0"/>
        <v>1.0132540356839423</v>
      </c>
      <c r="L24" s="35">
        <v>0.66606900000000002</v>
      </c>
      <c r="M24" s="31">
        <f t="shared" si="1"/>
        <v>2.7404608105328122E-2</v>
      </c>
      <c r="N24" s="35">
        <v>2.9039999999999999</v>
      </c>
      <c r="O24" s="31">
        <f t="shared" si="2"/>
        <v>4.8335552596537948E-2</v>
      </c>
      <c r="P24" s="31">
        <f t="shared" si="8"/>
        <v>3.8670398097699303E-17</v>
      </c>
      <c r="Q24" s="31">
        <f t="shared" si="3"/>
        <v>-16.41262135700001</v>
      </c>
      <c r="R24" s="31">
        <f t="shared" si="4"/>
        <v>4.5470578135288043E-17</v>
      </c>
      <c r="S24" s="31">
        <f t="shared" si="5"/>
        <v>-16.342269523926205</v>
      </c>
      <c r="T24" s="31">
        <f t="shared" si="6"/>
        <v>1.7637746327465396</v>
      </c>
    </row>
    <row r="25" spans="1:20" x14ac:dyDescent="0.35">
      <c r="A25" s="31">
        <v>12</v>
      </c>
      <c r="B25" s="32">
        <v>43607</v>
      </c>
      <c r="C25" s="36">
        <v>0.375</v>
      </c>
      <c r="D25" s="37">
        <f>D19+24-10/60</f>
        <v>47.833333333333336</v>
      </c>
      <c r="E25" s="35">
        <v>6.6459999999999999</v>
      </c>
      <c r="F25" s="35">
        <v>16.036999999999999</v>
      </c>
      <c r="G25" s="35">
        <f t="shared" si="7"/>
        <v>9.3909999999999982</v>
      </c>
      <c r="H25" s="35">
        <v>7.84</v>
      </c>
      <c r="I25" s="35">
        <v>5.1980000000000004</v>
      </c>
      <c r="J25" s="35">
        <v>7.2999999999999995E-2</v>
      </c>
      <c r="K25" s="31">
        <f t="shared" si="0"/>
        <v>1.0140438630242401</v>
      </c>
      <c r="L25" s="35">
        <v>0.62493799999999999</v>
      </c>
      <c r="M25" s="31">
        <f t="shared" si="1"/>
        <v>2.5712322567372967E-2</v>
      </c>
      <c r="N25" s="35">
        <v>2.8094000000000001</v>
      </c>
      <c r="O25" s="31">
        <f t="shared" si="2"/>
        <v>4.6760985352862855E-2</v>
      </c>
      <c r="P25" s="31">
        <f t="shared" si="8"/>
        <v>3.6282429067228773E-17</v>
      </c>
      <c r="Q25" s="31">
        <f t="shared" si="3"/>
        <v>-16.440303645118568</v>
      </c>
      <c r="R25" s="31">
        <f t="shared" si="4"/>
        <v>4.3989339605123363E-17</v>
      </c>
      <c r="S25" s="31">
        <f t="shared" si="5"/>
        <v>-16.356652557868639</v>
      </c>
      <c r="T25" s="31">
        <f t="shared" si="6"/>
        <v>1.8186216056654128</v>
      </c>
    </row>
    <row r="26" spans="1:20" x14ac:dyDescent="0.35">
      <c r="A26" s="35">
        <v>13</v>
      </c>
      <c r="B26" s="32">
        <v>43607</v>
      </c>
      <c r="C26" s="36">
        <v>0.47916666666666669</v>
      </c>
      <c r="D26" s="37">
        <f>D25+2.5</f>
        <v>50.333333333333336</v>
      </c>
      <c r="E26" s="35">
        <v>6.6319999999999997</v>
      </c>
      <c r="F26" s="35">
        <v>16.773</v>
      </c>
      <c r="G26" s="35">
        <f t="shared" si="7"/>
        <v>10.141</v>
      </c>
      <c r="H26" s="35">
        <v>7.79</v>
      </c>
      <c r="I26" s="35">
        <v>4.8849999999999998</v>
      </c>
      <c r="J26" s="35">
        <v>7.0999999999999994E-2</v>
      </c>
      <c r="K26" s="31">
        <f t="shared" si="0"/>
        <v>1.0145342886386899</v>
      </c>
      <c r="L26" s="35">
        <v>0.57155199999999995</v>
      </c>
      <c r="M26" s="31">
        <f t="shared" si="1"/>
        <v>2.351581979016663E-2</v>
      </c>
      <c r="N26" s="35">
        <v>2.7119</v>
      </c>
      <c r="O26" s="31">
        <f t="shared" si="2"/>
        <v>4.5138149134487354E-2</v>
      </c>
      <c r="P26" s="31">
        <f t="shared" si="8"/>
        <v>3.3182963587160226E-17</v>
      </c>
      <c r="Q26" s="31">
        <f t="shared" si="3"/>
        <v>-16.479084829520996</v>
      </c>
      <c r="R26" s="31">
        <f t="shared" si="4"/>
        <v>4.2462693128473711E-17</v>
      </c>
      <c r="S26" s="31">
        <f t="shared" si="5"/>
        <v>-16.371992464862814</v>
      </c>
      <c r="T26" s="31">
        <f t="shared" si="6"/>
        <v>1.9194801430381054</v>
      </c>
    </row>
    <row r="27" spans="1:20" x14ac:dyDescent="0.35">
      <c r="A27" s="35">
        <v>14</v>
      </c>
      <c r="B27" s="32">
        <v>43607</v>
      </c>
      <c r="C27" s="36">
        <v>0.58333333333333337</v>
      </c>
      <c r="D27" s="37">
        <f>D26+2.5</f>
        <v>52.833333333333336</v>
      </c>
      <c r="E27" s="35">
        <v>6.5910000000000002</v>
      </c>
      <c r="F27" s="35">
        <v>18.241</v>
      </c>
      <c r="G27" s="35">
        <f t="shared" si="7"/>
        <v>11.649999999999999</v>
      </c>
      <c r="H27" s="35">
        <v>7.9</v>
      </c>
      <c r="I27" s="35">
        <v>5.4779999999999998</v>
      </c>
      <c r="J27" s="35">
        <v>7.9000000000000001E-2</v>
      </c>
      <c r="K27" s="31">
        <f t="shared" si="0"/>
        <v>1.0144213216502374</v>
      </c>
      <c r="L27" s="35">
        <v>0.59055500000000005</v>
      </c>
      <c r="M27" s="31">
        <f t="shared" si="1"/>
        <v>2.4297675375437155E-2</v>
      </c>
      <c r="N27" s="35">
        <v>2.7743000000000002</v>
      </c>
      <c r="O27" s="31">
        <f t="shared" si="2"/>
        <v>4.6176764314247672E-2</v>
      </c>
      <c r="P27" s="31">
        <f t="shared" si="8"/>
        <v>3.4286233030792325E-17</v>
      </c>
      <c r="Q27" s="31">
        <f t="shared" si="3"/>
        <v>-16.464880227448717</v>
      </c>
      <c r="R27" s="31">
        <f t="shared" si="4"/>
        <v>4.3439746873529489E-17</v>
      </c>
      <c r="S27" s="31">
        <f t="shared" si="5"/>
        <v>-16.362112714076432</v>
      </c>
      <c r="T27" s="31">
        <f t="shared" si="6"/>
        <v>1.9004601716314138</v>
      </c>
    </row>
    <row r="28" spans="1:20" x14ac:dyDescent="0.35">
      <c r="C28" s="3"/>
    </row>
    <row r="34" spans="1:20" ht="18.5" x14ac:dyDescent="0.45">
      <c r="A34" s="1" t="s">
        <v>61</v>
      </c>
    </row>
    <row r="35" spans="1:20" x14ac:dyDescent="0.35">
      <c r="A35" s="2" t="s">
        <v>0</v>
      </c>
      <c r="C35" s="3"/>
    </row>
    <row r="36" spans="1:20" x14ac:dyDescent="0.35">
      <c r="A36" s="2" t="s">
        <v>1</v>
      </c>
    </row>
    <row r="37" spans="1:20" x14ac:dyDescent="0.35">
      <c r="A37" s="2" t="s">
        <v>2</v>
      </c>
    </row>
    <row r="38" spans="1:20" x14ac:dyDescent="0.35">
      <c r="A38" s="2" t="s">
        <v>3</v>
      </c>
      <c r="C38">
        <f>9.155+0.80734-9.182</f>
        <v>0.78033999999999892</v>
      </c>
    </row>
    <row r="39" spans="1:20" x14ac:dyDescent="0.35">
      <c r="A39" s="2" t="s">
        <v>4</v>
      </c>
      <c r="C39">
        <f>AVERAGE(G53:G58)/(20*60)</f>
        <v>9.8448611111111115E-3</v>
      </c>
    </row>
    <row r="40" spans="1:20" ht="15" thickBot="1" x14ac:dyDescent="0.4">
      <c r="A40" s="2" t="s">
        <v>5</v>
      </c>
      <c r="C40">
        <v>2140000</v>
      </c>
    </row>
    <row r="41" spans="1:20" x14ac:dyDescent="0.35">
      <c r="A41" s="4" t="s">
        <v>6</v>
      </c>
      <c r="B41" s="5"/>
      <c r="C41" s="6">
        <f>AVERAGE(Q60:Q60)</f>
        <v>-16.412025162380068</v>
      </c>
    </row>
    <row r="42" spans="1:20" ht="15" thickBot="1" x14ac:dyDescent="0.4">
      <c r="A42" s="7" t="s">
        <v>7</v>
      </c>
      <c r="B42" s="8"/>
      <c r="C42" s="9">
        <f>AVERAGE(S60:S60)</f>
        <v>-16.31845324961963</v>
      </c>
    </row>
    <row r="44" spans="1:20" x14ac:dyDescent="0.35">
      <c r="A44" s="56" t="s">
        <v>8</v>
      </c>
      <c r="B44" s="57"/>
      <c r="C44" s="57"/>
      <c r="D44" s="57"/>
      <c r="E44" s="58" t="s">
        <v>9</v>
      </c>
      <c r="F44" s="58"/>
      <c r="G44" s="58"/>
      <c r="H44" s="59"/>
      <c r="I44" s="59"/>
      <c r="J44" s="59"/>
      <c r="K44" s="60" t="s">
        <v>10</v>
      </c>
      <c r="L44" s="61" t="s">
        <v>11</v>
      </c>
      <c r="M44" s="62"/>
      <c r="N44" s="62"/>
      <c r="O44" s="62"/>
      <c r="P44" s="63" t="s">
        <v>12</v>
      </c>
      <c r="Q44" s="64"/>
      <c r="R44" s="64"/>
      <c r="S44" s="64"/>
      <c r="T44" s="64"/>
    </row>
    <row r="45" spans="1:20" x14ac:dyDescent="0.35">
      <c r="A45" s="65" t="s">
        <v>13</v>
      </c>
      <c r="B45" s="65" t="s">
        <v>14</v>
      </c>
      <c r="C45" s="65" t="s">
        <v>15</v>
      </c>
      <c r="D45" s="65" t="s">
        <v>16</v>
      </c>
      <c r="E45" s="66" t="s">
        <v>17</v>
      </c>
      <c r="F45" s="66" t="s">
        <v>18</v>
      </c>
      <c r="G45" s="66" t="s">
        <v>59</v>
      </c>
      <c r="H45" s="66" t="s">
        <v>20</v>
      </c>
      <c r="I45" s="66" t="s">
        <v>21</v>
      </c>
      <c r="J45" s="66" t="s">
        <v>22</v>
      </c>
      <c r="K45" s="67" t="s">
        <v>60</v>
      </c>
      <c r="L45" s="28" t="s">
        <v>28</v>
      </c>
      <c r="M45" s="28" t="s">
        <v>29</v>
      </c>
      <c r="N45" s="28" t="s">
        <v>30</v>
      </c>
      <c r="O45" s="28" t="s">
        <v>31</v>
      </c>
      <c r="P45" s="68" t="s">
        <v>32</v>
      </c>
      <c r="Q45" s="68" t="s">
        <v>33</v>
      </c>
      <c r="R45" s="68" t="s">
        <v>34</v>
      </c>
      <c r="S45" s="68" t="s">
        <v>35</v>
      </c>
      <c r="T45" s="64" t="s">
        <v>36</v>
      </c>
    </row>
    <row r="46" spans="1:20" x14ac:dyDescent="0.35">
      <c r="A46" s="31">
        <v>0</v>
      </c>
      <c r="B46" s="32">
        <v>43605</v>
      </c>
      <c r="C46" s="33">
        <v>0.38194444444444442</v>
      </c>
      <c r="D46" s="34">
        <v>0</v>
      </c>
      <c r="E46" s="31"/>
      <c r="F46" s="31"/>
      <c r="G46" s="31"/>
      <c r="H46" s="31">
        <v>8.02</v>
      </c>
      <c r="I46" s="31">
        <v>4.3079999999999998</v>
      </c>
      <c r="J46" s="31">
        <v>7.3999999999999996E-2</v>
      </c>
      <c r="K46" s="31">
        <f>(J46+I46)/I46</f>
        <v>1.0171773444753947</v>
      </c>
      <c r="L46" s="31"/>
      <c r="M46" s="31">
        <f>L46/24.305</f>
        <v>0</v>
      </c>
      <c r="N46">
        <v>-0.15229999999999999</v>
      </c>
      <c r="O46" s="31">
        <f>N46/60.08</f>
        <v>-2.5349533954727031E-3</v>
      </c>
      <c r="P46" s="31">
        <f>(M46*10^(-6)*$C$6)/($C$5*$C$7*4)</f>
        <v>0</v>
      </c>
      <c r="Q46" s="31" t="e">
        <f>LOG(P46)</f>
        <v>#NUM!</v>
      </c>
      <c r="R46" s="31">
        <f>(O46*10^(-6)*$C$6)/($C$5*$C$7*6)</f>
        <v>-2.3847000860896587E-18</v>
      </c>
      <c r="S46" s="31" t="e">
        <f>LOG(R46)</f>
        <v>#NUM!</v>
      </c>
      <c r="T46" s="31" t="e">
        <f>O46/M46</f>
        <v>#DIV/0!</v>
      </c>
    </row>
    <row r="47" spans="1:20" x14ac:dyDescent="0.35">
      <c r="A47" s="35">
        <v>1</v>
      </c>
      <c r="B47" s="38">
        <v>43605</v>
      </c>
      <c r="C47" s="33">
        <v>0.3888888888888889</v>
      </c>
      <c r="D47" s="34">
        <f>10/60</f>
        <v>0.16666666666666666</v>
      </c>
      <c r="E47" s="31">
        <v>6.6859999999999999</v>
      </c>
      <c r="F47" s="35">
        <v>18.649999999999999</v>
      </c>
      <c r="G47" s="35">
        <f>F47-E47</f>
        <v>11.963999999999999</v>
      </c>
      <c r="H47" s="35">
        <v>7.86</v>
      </c>
      <c r="I47" s="35">
        <v>5.3159999999999998</v>
      </c>
      <c r="J47" s="35">
        <v>8.5000000000000006E-2</v>
      </c>
      <c r="K47" s="31">
        <f t="shared" ref="K47:K60" si="10">(J47+I47)/I47</f>
        <v>1.0159894657637321</v>
      </c>
      <c r="L47" s="35">
        <v>0.43248300000000001</v>
      </c>
      <c r="M47" s="31">
        <f>L47/24.305</f>
        <v>1.7793993005554412E-2</v>
      </c>
      <c r="N47" s="35">
        <v>0.88380000000000003</v>
      </c>
      <c r="O47" s="31">
        <f t="shared" ref="O47:O60" si="11">N47/60.08</f>
        <v>1.4710386151797605E-2</v>
      </c>
      <c r="P47" s="31">
        <f t="shared" ref="P47:P60" si="12">(M47*10^(-6)*$C$6)/($C$5*$C$7*4)</f>
        <v>2.5108944839779791E-17</v>
      </c>
      <c r="Q47" s="31">
        <f t="shared" ref="Q47:Q60" si="13">LOG(P47)</f>
        <v>-16.600171537382245</v>
      </c>
      <c r="R47" s="31">
        <f t="shared" ref="R47:R60" si="14">(O47*10^(-6)*$C$6)/($C$5*$C$7*6)</f>
        <v>1.3838463139107293E-17</v>
      </c>
      <c r="S47" s="31">
        <f t="shared" ref="S47:S60" si="15">LOG(R47)</f>
        <v>-16.858912138727987</v>
      </c>
      <c r="T47" s="31">
        <f t="shared" ref="T47:T60" si="16">O47/M47</f>
        <v>0.82670517782072539</v>
      </c>
    </row>
    <row r="48" spans="1:20" x14ac:dyDescent="0.35">
      <c r="A48" s="35">
        <v>2</v>
      </c>
      <c r="B48" s="32">
        <v>43605</v>
      </c>
      <c r="C48" s="33">
        <v>0.45833333333333331</v>
      </c>
      <c r="D48" s="37">
        <f>2-10/60</f>
        <v>1.8333333333333333</v>
      </c>
      <c r="E48" s="35">
        <v>6.6459999999999999</v>
      </c>
      <c r="F48" s="35">
        <v>19.335999999999999</v>
      </c>
      <c r="G48" s="35">
        <f t="shared" ref="G48:G60" si="17">F48-E48</f>
        <v>12.689999999999998</v>
      </c>
      <c r="H48" s="35">
        <v>7.87</v>
      </c>
      <c r="I48" s="35">
        <v>5.8520000000000003</v>
      </c>
      <c r="J48" s="35">
        <v>7.9000000000000001E-2</v>
      </c>
      <c r="K48" s="31">
        <f t="shared" si="10"/>
        <v>1.0134996582365003</v>
      </c>
      <c r="L48" s="35">
        <v>0.90432900000000005</v>
      </c>
      <c r="M48" s="31">
        <f t="shared" ref="M48:M60" si="18">L48/24.305</f>
        <v>3.7207529314955773E-2</v>
      </c>
      <c r="N48" s="35">
        <v>3.2006000000000001</v>
      </c>
      <c r="O48" s="31">
        <f t="shared" si="11"/>
        <v>5.3272303595206398E-2</v>
      </c>
      <c r="P48" s="31">
        <f t="shared" si="12"/>
        <v>5.2503212792209681E-17</v>
      </c>
      <c r="Q48" s="31">
        <f t="shared" si="13"/>
        <v>-16.279814120303822</v>
      </c>
      <c r="R48" s="31">
        <f t="shared" si="14"/>
        <v>5.0114715006819195E-17</v>
      </c>
      <c r="S48" s="31">
        <f t="shared" si="15"/>
        <v>-16.300034735052126</v>
      </c>
      <c r="T48" s="31">
        <f t="shared" si="16"/>
        <v>1.4317613820650354</v>
      </c>
    </row>
    <row r="49" spans="1:20" x14ac:dyDescent="0.35">
      <c r="A49" s="31">
        <v>3</v>
      </c>
      <c r="B49" s="38">
        <v>43605</v>
      </c>
      <c r="C49" s="33">
        <v>0.54166666666666663</v>
      </c>
      <c r="D49" s="37">
        <f>D48+2</f>
        <v>3.833333333333333</v>
      </c>
      <c r="E49" s="35">
        <v>6.673</v>
      </c>
      <c r="F49" s="35">
        <v>19.262</v>
      </c>
      <c r="G49" s="35">
        <f t="shared" si="17"/>
        <v>12.589</v>
      </c>
      <c r="H49" s="35">
        <v>7.84</v>
      </c>
      <c r="I49" s="35">
        <v>5.5140000000000002</v>
      </c>
      <c r="J49" s="35">
        <v>8.1000000000000003E-2</v>
      </c>
      <c r="K49" s="31">
        <f t="shared" si="10"/>
        <v>1.0146898803046791</v>
      </c>
      <c r="L49" s="35">
        <v>0.86057799999999995</v>
      </c>
      <c r="M49" s="31">
        <f t="shared" si="18"/>
        <v>3.5407447027360622E-2</v>
      </c>
      <c r="N49" s="35">
        <v>3.4478</v>
      </c>
      <c r="O49" s="31">
        <f t="shared" si="11"/>
        <v>5.738681757656458E-2</v>
      </c>
      <c r="P49" s="31">
        <f t="shared" si="12"/>
        <v>4.9963132729674947E-17</v>
      </c>
      <c r="Q49" s="31">
        <f t="shared" si="13"/>
        <v>-16.301350338821578</v>
      </c>
      <c r="R49" s="31">
        <f t="shared" si="14"/>
        <v>5.3985350996847838E-17</v>
      </c>
      <c r="S49" s="31">
        <f t="shared" si="15"/>
        <v>-16.267724070627452</v>
      </c>
      <c r="T49" s="31">
        <f t="shared" si="16"/>
        <v>1.6207555865922696</v>
      </c>
    </row>
    <row r="50" spans="1:20" x14ac:dyDescent="0.35">
      <c r="A50" s="35">
        <v>4</v>
      </c>
      <c r="B50" s="32">
        <v>43605</v>
      </c>
      <c r="C50" s="36">
        <v>0.66666666666666663</v>
      </c>
      <c r="D50" s="37">
        <f>D49+3</f>
        <v>6.833333333333333</v>
      </c>
      <c r="E50" s="35">
        <v>6.67</v>
      </c>
      <c r="F50" s="35">
        <v>19.344000000000001</v>
      </c>
      <c r="G50" s="35">
        <f t="shared" si="17"/>
        <v>12.674000000000001</v>
      </c>
      <c r="H50" s="35">
        <v>8.06</v>
      </c>
      <c r="I50" s="35">
        <v>5.5069999999999997</v>
      </c>
      <c r="J50" s="35">
        <v>7.9000000000000001E-2</v>
      </c>
      <c r="K50" s="31">
        <f t="shared" si="10"/>
        <v>1.0143453786090431</v>
      </c>
      <c r="L50" s="35">
        <v>0.876749</v>
      </c>
      <c r="M50" s="31">
        <f t="shared" si="18"/>
        <v>3.607278337790578E-2</v>
      </c>
      <c r="N50" s="35">
        <v>3.7151000000000001</v>
      </c>
      <c r="O50" s="31">
        <f t="shared" si="11"/>
        <v>6.1835885486018642E-2</v>
      </c>
      <c r="P50" s="31">
        <f t="shared" si="12"/>
        <v>5.0901982920327708E-17</v>
      </c>
      <c r="Q50" s="31">
        <f t="shared" si="13"/>
        <v>-16.293265299105631</v>
      </c>
      <c r="R50" s="31">
        <f t="shared" si="14"/>
        <v>5.8170711029755039E-17</v>
      </c>
      <c r="S50" s="31">
        <f t="shared" si="15"/>
        <v>-16.235295627719392</v>
      </c>
      <c r="T50" s="31">
        <f t="shared" si="16"/>
        <v>1.7141977883495541</v>
      </c>
    </row>
    <row r="51" spans="1:20" x14ac:dyDescent="0.35">
      <c r="A51" s="35">
        <v>5</v>
      </c>
      <c r="B51" s="38">
        <v>43605</v>
      </c>
      <c r="C51" s="36">
        <v>0.79166666666666663</v>
      </c>
      <c r="D51" s="37">
        <f>D50+3</f>
        <v>9.8333333333333321</v>
      </c>
      <c r="E51" s="35">
        <v>6.67</v>
      </c>
      <c r="F51" s="35">
        <v>18.212</v>
      </c>
      <c r="G51" s="35">
        <f t="shared" si="17"/>
        <v>11.542</v>
      </c>
      <c r="H51" s="35">
        <v>8.02</v>
      </c>
      <c r="I51" s="35">
        <v>5.4710000000000001</v>
      </c>
      <c r="J51" s="35">
        <v>6.9000000000000006E-2</v>
      </c>
      <c r="K51" s="31">
        <f t="shared" si="10"/>
        <v>1.0126119539389509</v>
      </c>
      <c r="L51" s="35">
        <v>0.88235300000000005</v>
      </c>
      <c r="M51" s="31">
        <f t="shared" si="18"/>
        <v>3.6303353219502163E-2</v>
      </c>
      <c r="N51" s="35">
        <v>3.5785</v>
      </c>
      <c r="O51" s="31">
        <f t="shared" si="11"/>
        <v>5.9562250332889484E-2</v>
      </c>
      <c r="P51" s="31">
        <f t="shared" si="12"/>
        <v>5.1227337967536813E-17</v>
      </c>
      <c r="Q51" s="31">
        <f t="shared" si="13"/>
        <v>-16.290498211682657</v>
      </c>
      <c r="R51" s="31">
        <f t="shared" si="14"/>
        <v>5.6031840171187423E-17</v>
      </c>
      <c r="S51" s="31">
        <f t="shared" si="15"/>
        <v>-16.251565114404301</v>
      </c>
      <c r="T51" s="31">
        <f t="shared" si="16"/>
        <v>1.6406817842075436</v>
      </c>
    </row>
    <row r="52" spans="1:20" x14ac:dyDescent="0.35">
      <c r="A52" s="31">
        <v>6</v>
      </c>
      <c r="B52" s="32">
        <v>43606</v>
      </c>
      <c r="C52" s="36">
        <v>0.38194444444444442</v>
      </c>
      <c r="D52" s="37">
        <f>24</f>
        <v>24</v>
      </c>
      <c r="E52" s="35">
        <v>6.6669999999999998</v>
      </c>
      <c r="F52" s="35">
        <v>17.359000000000002</v>
      </c>
      <c r="G52" s="35">
        <f t="shared" si="17"/>
        <v>10.692000000000002</v>
      </c>
      <c r="H52" s="35">
        <v>7.99</v>
      </c>
      <c r="I52" s="35">
        <v>5.0199999999999996</v>
      </c>
      <c r="J52" s="35">
        <v>6.7000000000000004E-2</v>
      </c>
      <c r="K52" s="31">
        <f t="shared" si="10"/>
        <v>1.0133466135458167</v>
      </c>
      <c r="L52" s="35">
        <v>0.69687699999999997</v>
      </c>
      <c r="M52" s="31">
        <f t="shared" si="18"/>
        <v>2.8672166220942191E-2</v>
      </c>
      <c r="N52" s="35">
        <v>3.1404000000000001</v>
      </c>
      <c r="O52" s="31">
        <f t="shared" si="11"/>
        <v>5.2270306258322241E-2</v>
      </c>
      <c r="P52" s="31">
        <f t="shared" si="12"/>
        <v>4.0459038050307688E-17</v>
      </c>
      <c r="Q52" s="31">
        <f t="shared" si="13"/>
        <v>-16.392984447180876</v>
      </c>
      <c r="R52" s="31">
        <f t="shared" si="14"/>
        <v>4.9172108669441662E-17</v>
      </c>
      <c r="S52" s="31">
        <f t="shared" si="15"/>
        <v>-16.308281167266756</v>
      </c>
      <c r="T52" s="31">
        <f t="shared" si="16"/>
        <v>1.8230330368322132</v>
      </c>
    </row>
    <row r="53" spans="1:20" x14ac:dyDescent="0.35">
      <c r="A53" s="35">
        <v>7</v>
      </c>
      <c r="B53" s="32">
        <v>43606</v>
      </c>
      <c r="C53" s="36">
        <v>0.45833333333333331</v>
      </c>
      <c r="D53" s="37">
        <f>D48+24</f>
        <v>25.833333333333332</v>
      </c>
      <c r="E53" s="35">
        <v>6.6929999999999996</v>
      </c>
      <c r="F53" s="35">
        <v>18.425000000000001</v>
      </c>
      <c r="G53" s="35">
        <f t="shared" si="17"/>
        <v>11.732000000000001</v>
      </c>
      <c r="H53" s="35">
        <v>7.94</v>
      </c>
      <c r="I53" s="35">
        <v>5.4569999999999999</v>
      </c>
      <c r="J53" s="35">
        <v>7.8E-2</v>
      </c>
      <c r="K53" s="31">
        <f t="shared" si="10"/>
        <v>1.0142935678944476</v>
      </c>
      <c r="L53" s="35">
        <v>0.72731400000000002</v>
      </c>
      <c r="M53" s="31">
        <f t="shared" si="18"/>
        <v>2.9924459987656863E-2</v>
      </c>
      <c r="N53" s="35">
        <v>3.2624</v>
      </c>
      <c r="O53" s="31">
        <f t="shared" si="11"/>
        <v>5.4300932090545942E-2</v>
      </c>
      <c r="P53" s="31">
        <f t="shared" si="12"/>
        <v>4.222613861631463E-17</v>
      </c>
      <c r="Q53" s="31">
        <f t="shared" si="13"/>
        <v>-16.374418630966773</v>
      </c>
      <c r="R53" s="31">
        <f t="shared" si="14"/>
        <v>5.1082374004326353E-17</v>
      </c>
      <c r="S53" s="31">
        <f t="shared" si="15"/>
        <v>-16.291728927520197</v>
      </c>
      <c r="T53" s="31">
        <f t="shared" si="16"/>
        <v>1.8146002338202194</v>
      </c>
    </row>
    <row r="54" spans="1:20" x14ac:dyDescent="0.35">
      <c r="A54" s="35">
        <v>8</v>
      </c>
      <c r="B54" s="32">
        <v>43606</v>
      </c>
      <c r="C54" s="36">
        <v>0.54166666666666663</v>
      </c>
      <c r="D54" s="37">
        <f>D53+2</f>
        <v>27.833333333333332</v>
      </c>
      <c r="E54" s="35">
        <v>6.7069999999999999</v>
      </c>
      <c r="F54" s="35">
        <v>18.329000000000001</v>
      </c>
      <c r="G54" s="35">
        <f t="shared" si="17"/>
        <v>11.622</v>
      </c>
      <c r="H54" s="35">
        <v>8</v>
      </c>
      <c r="I54" s="35">
        <v>5.1120000000000001</v>
      </c>
      <c r="J54" s="35">
        <v>5.5E-2</v>
      </c>
      <c r="K54" s="31">
        <f t="shared" si="10"/>
        <v>1.0107589984350547</v>
      </c>
      <c r="L54" s="35">
        <v>0.75797300000000001</v>
      </c>
      <c r="M54" s="31">
        <f t="shared" si="18"/>
        <v>3.1185887677432626E-2</v>
      </c>
      <c r="N54" s="35">
        <v>3.2216</v>
      </c>
      <c r="O54" s="31">
        <f t="shared" si="11"/>
        <v>5.3621837549933424E-2</v>
      </c>
      <c r="P54" s="31">
        <f t="shared" si="12"/>
        <v>4.400612797969494E-17</v>
      </c>
      <c r="Q54" s="31">
        <f t="shared" si="13"/>
        <v>-16.356486842548858</v>
      </c>
      <c r="R54" s="31">
        <f t="shared" si="14"/>
        <v>5.044353117102065E-17</v>
      </c>
      <c r="S54" s="31">
        <f t="shared" si="15"/>
        <v>-16.297194519354886</v>
      </c>
      <c r="T54" s="31">
        <f t="shared" si="16"/>
        <v>1.7194263669697099</v>
      </c>
    </row>
    <row r="55" spans="1:20" x14ac:dyDescent="0.35">
      <c r="A55" s="31">
        <v>9</v>
      </c>
      <c r="B55" s="32">
        <v>43606</v>
      </c>
      <c r="C55" s="36">
        <v>0.625</v>
      </c>
      <c r="D55" s="37">
        <f t="shared" ref="D55:D57" si="19">D54+2</f>
        <v>29.833333333333332</v>
      </c>
      <c r="E55" s="35">
        <v>6.6920000000000002</v>
      </c>
      <c r="F55" s="35">
        <v>18.495000000000001</v>
      </c>
      <c r="G55" s="35">
        <f t="shared" si="17"/>
        <v>11.803000000000001</v>
      </c>
      <c r="H55" s="35">
        <v>7.94</v>
      </c>
      <c r="I55" s="35">
        <v>5.3289999999999997</v>
      </c>
      <c r="J55" s="35">
        <v>7.0000000000000007E-2</v>
      </c>
      <c r="K55" s="31">
        <f t="shared" si="10"/>
        <v>1.0131356727340965</v>
      </c>
      <c r="L55" s="35">
        <v>0.71215600000000001</v>
      </c>
      <c r="M55" s="31">
        <f t="shared" si="18"/>
        <v>2.9300802304052666E-2</v>
      </c>
      <c r="N55" s="35">
        <v>3.1804999999999999</v>
      </c>
      <c r="O55" s="31">
        <f t="shared" si="11"/>
        <v>5.2937749667110519E-2</v>
      </c>
      <c r="P55" s="31">
        <f t="shared" si="12"/>
        <v>4.1346100820883637E-17</v>
      </c>
      <c r="Q55" s="31">
        <f t="shared" si="13"/>
        <v>-16.383565440689914</v>
      </c>
      <c r="R55" s="31">
        <f t="shared" si="14"/>
        <v>4.9799990963940638E-17</v>
      </c>
      <c r="S55" s="31">
        <f t="shared" si="15"/>
        <v>-16.302770736041708</v>
      </c>
      <c r="T55" s="31">
        <f t="shared" si="16"/>
        <v>1.8066996636398782</v>
      </c>
    </row>
    <row r="56" spans="1:20" x14ac:dyDescent="0.35">
      <c r="A56" s="35">
        <v>10</v>
      </c>
      <c r="B56" s="32">
        <v>43606</v>
      </c>
      <c r="C56" s="36">
        <v>0.70833333333333337</v>
      </c>
      <c r="D56" s="37">
        <f t="shared" si="19"/>
        <v>31.833333333333332</v>
      </c>
      <c r="E56" s="35">
        <v>6.6459999999999999</v>
      </c>
      <c r="F56" s="35">
        <v>18.940000000000001</v>
      </c>
      <c r="G56" s="35">
        <f t="shared" si="17"/>
        <v>12.294</v>
      </c>
      <c r="H56" s="35">
        <v>7.94</v>
      </c>
      <c r="I56" s="35">
        <v>5.4660000000000002</v>
      </c>
      <c r="J56" s="35">
        <v>7.5999999999999998E-2</v>
      </c>
      <c r="K56" s="31">
        <f t="shared" si="10"/>
        <v>1.0139041346505671</v>
      </c>
      <c r="L56" s="35">
        <v>0.69070299999999996</v>
      </c>
      <c r="M56" s="31">
        <f t="shared" si="18"/>
        <v>2.8418144414729479E-2</v>
      </c>
      <c r="N56" s="35">
        <v>3.1154999999999999</v>
      </c>
      <c r="O56" s="31">
        <f t="shared" si="11"/>
        <v>5.1855858854860187E-2</v>
      </c>
      <c r="P56" s="31">
        <f t="shared" si="12"/>
        <v>4.0100590144977769E-17</v>
      </c>
      <c r="Q56" s="31">
        <f t="shared" si="13"/>
        <v>-16.396849235987762</v>
      </c>
      <c r="R56" s="31">
        <f t="shared" si="14"/>
        <v>4.8782226646174212E-17</v>
      </c>
      <c r="S56" s="31">
        <f t="shared" si="15"/>
        <v>-16.311738380363479</v>
      </c>
      <c r="T56" s="31">
        <f t="shared" si="16"/>
        <v>1.8247447158436794</v>
      </c>
    </row>
    <row r="57" spans="1:20" x14ac:dyDescent="0.35">
      <c r="A57" s="35">
        <v>11</v>
      </c>
      <c r="B57" s="32">
        <v>43606</v>
      </c>
      <c r="C57" s="36">
        <v>0.79166666666666663</v>
      </c>
      <c r="D57" s="37">
        <f t="shared" si="19"/>
        <v>33.833333333333329</v>
      </c>
      <c r="E57" s="35">
        <v>6.6710000000000003</v>
      </c>
      <c r="F57" s="35">
        <v>18.643999999999998</v>
      </c>
      <c r="G57" s="35">
        <f t="shared" si="17"/>
        <v>11.972999999999999</v>
      </c>
      <c r="H57" s="35">
        <v>7.96</v>
      </c>
      <c r="I57" s="35">
        <v>5.6230000000000002</v>
      </c>
      <c r="J57" s="35">
        <v>6.8000000000000005E-2</v>
      </c>
      <c r="K57" s="31">
        <f t="shared" si="10"/>
        <v>1.0120931886893116</v>
      </c>
      <c r="L57" s="35">
        <v>0.680311</v>
      </c>
      <c r="M57" s="31">
        <f t="shared" si="18"/>
        <v>2.7990578070355893E-2</v>
      </c>
      <c r="N57" s="35">
        <v>3.0552999999999999</v>
      </c>
      <c r="O57" s="31">
        <f t="shared" si="11"/>
        <v>5.085386151797603E-2</v>
      </c>
      <c r="P57" s="31">
        <f t="shared" si="12"/>
        <v>3.9497255089553649E-17</v>
      </c>
      <c r="Q57" s="31">
        <f t="shared" si="13"/>
        <v>-16.403433085155374</v>
      </c>
      <c r="R57" s="31">
        <f t="shared" si="14"/>
        <v>4.7839620308796679E-17</v>
      </c>
      <c r="S57" s="31">
        <f t="shared" si="15"/>
        <v>-16.320212275893574</v>
      </c>
      <c r="T57" s="31">
        <f t="shared" si="16"/>
        <v>1.8168206955266157</v>
      </c>
    </row>
    <row r="58" spans="1:20" x14ac:dyDescent="0.35">
      <c r="A58" s="31">
        <v>12</v>
      </c>
      <c r="B58" s="32">
        <v>43607</v>
      </c>
      <c r="C58" s="36">
        <v>0.375</v>
      </c>
      <c r="D58" s="37">
        <f>D52+24-10/60</f>
        <v>47.833333333333336</v>
      </c>
      <c r="E58" s="35">
        <v>6.6959999999999997</v>
      </c>
      <c r="F58" s="35">
        <v>18.155000000000001</v>
      </c>
      <c r="G58" s="35">
        <f t="shared" si="17"/>
        <v>11.459000000000001</v>
      </c>
      <c r="H58" s="35">
        <v>7.9</v>
      </c>
      <c r="I58" s="35">
        <v>5.4459999999999997</v>
      </c>
      <c r="J58" s="35">
        <v>7.0000000000000007E-2</v>
      </c>
      <c r="K58" s="31">
        <f t="shared" si="10"/>
        <v>1.012853470437018</v>
      </c>
      <c r="L58" s="35">
        <v>0.68981199999999998</v>
      </c>
      <c r="M58" s="31">
        <f t="shared" si="18"/>
        <v>2.8381485291092367E-2</v>
      </c>
      <c r="N58" s="35">
        <v>3.0581999999999998</v>
      </c>
      <c r="O58" s="31">
        <f t="shared" si="11"/>
        <v>5.0902130492676431E-2</v>
      </c>
      <c r="P58" s="31">
        <f t="shared" si="12"/>
        <v>4.0048860782546771E-17</v>
      </c>
      <c r="Q58" s="31">
        <f t="shared" si="13"/>
        <v>-16.397409833209966</v>
      </c>
      <c r="R58" s="31">
        <f t="shared" si="14"/>
        <v>4.7885028255281644E-17</v>
      </c>
      <c r="S58" s="31">
        <f t="shared" si="15"/>
        <v>-16.31980025198191</v>
      </c>
      <c r="T58" s="31">
        <f t="shared" si="16"/>
        <v>1.7934977669633185</v>
      </c>
    </row>
    <row r="59" spans="1:20" x14ac:dyDescent="0.35">
      <c r="A59" s="35">
        <v>13</v>
      </c>
      <c r="B59" s="32">
        <v>43607</v>
      </c>
      <c r="C59" s="36">
        <v>0.47916666666666669</v>
      </c>
      <c r="D59" s="37">
        <f>D58+2.5</f>
        <v>50.333333333333336</v>
      </c>
      <c r="E59" s="35">
        <v>6.7389999999999999</v>
      </c>
      <c r="F59" s="35">
        <v>16.716999999999999</v>
      </c>
      <c r="G59" s="35">
        <f t="shared" si="17"/>
        <v>9.977999999999998</v>
      </c>
      <c r="H59" s="35">
        <v>7.92</v>
      </c>
      <c r="I59" s="35">
        <v>4.665</v>
      </c>
      <c r="J59" s="35">
        <v>8.1000000000000003E-2</v>
      </c>
      <c r="K59" s="31">
        <f t="shared" si="10"/>
        <v>1.0173633440514471</v>
      </c>
      <c r="L59" s="35">
        <v>0.67117099999999996</v>
      </c>
      <c r="M59" s="31">
        <f t="shared" si="18"/>
        <v>2.7614523760543096E-2</v>
      </c>
      <c r="N59" s="35">
        <v>3.0598000000000001</v>
      </c>
      <c r="O59" s="31">
        <f t="shared" si="11"/>
        <v>5.0928761651131825E-2</v>
      </c>
      <c r="P59" s="31">
        <f t="shared" si="12"/>
        <v>3.8966608206703713E-17</v>
      </c>
      <c r="Q59" s="31">
        <f t="shared" si="13"/>
        <v>-16.409307395111075</v>
      </c>
      <c r="R59" s="31">
        <f t="shared" si="14"/>
        <v>4.7910080915411281E-17</v>
      </c>
      <c r="S59" s="31">
        <f t="shared" si="15"/>
        <v>-16.319573095660598</v>
      </c>
      <c r="T59" s="31">
        <f t="shared" si="16"/>
        <v>1.8442744873225438</v>
      </c>
    </row>
    <row r="60" spans="1:20" x14ac:dyDescent="0.35">
      <c r="A60" s="35">
        <v>14</v>
      </c>
      <c r="B60" s="32">
        <v>43607</v>
      </c>
      <c r="C60" s="36">
        <v>0.58333333333333337</v>
      </c>
      <c r="D60" s="37">
        <f>D59+2.5</f>
        <v>52.833333333333336</v>
      </c>
      <c r="E60" s="35">
        <v>6.7009999999999996</v>
      </c>
      <c r="F60" s="35">
        <v>17.806000000000001</v>
      </c>
      <c r="G60" s="35">
        <f t="shared" si="17"/>
        <v>11.105</v>
      </c>
      <c r="H60" s="35">
        <v>7.84</v>
      </c>
      <c r="I60" s="35">
        <v>4.9459999999999997</v>
      </c>
      <c r="J60" s="35">
        <v>8.1000000000000003E-2</v>
      </c>
      <c r="K60" s="31">
        <f t="shared" si="10"/>
        <v>1.0163768701981399</v>
      </c>
      <c r="L60" s="35">
        <v>0.66698400000000002</v>
      </c>
      <c r="M60" s="31">
        <f t="shared" si="18"/>
        <v>2.7442254680106973E-2</v>
      </c>
      <c r="N60" s="35">
        <v>3.0676999999999999</v>
      </c>
      <c r="O60" s="31">
        <f t="shared" si="11"/>
        <v>5.1060252996005327E-2</v>
      </c>
      <c r="P60" s="31">
        <f t="shared" si="12"/>
        <v>3.8723520843630117E-17</v>
      </c>
      <c r="Q60" s="31">
        <f t="shared" si="13"/>
        <v>-16.412025162380068</v>
      </c>
      <c r="R60" s="31">
        <f t="shared" si="14"/>
        <v>4.8033778424801359E-17</v>
      </c>
      <c r="S60" s="31">
        <f t="shared" si="15"/>
        <v>-16.31845324961963</v>
      </c>
      <c r="T60" s="31">
        <f t="shared" si="16"/>
        <v>1.860643507292393</v>
      </c>
    </row>
  </sheetData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87F1E1-19F0-4A5F-8B6C-0C5BC8937EDF}">
  <dimension ref="A1:T60"/>
  <sheetViews>
    <sheetView workbookViewId="0">
      <selection activeCell="E8" sqref="E8"/>
    </sheetView>
  </sheetViews>
  <sheetFormatPr defaultColWidth="11.6328125" defaultRowHeight="14.5" x14ac:dyDescent="0.35"/>
  <cols>
    <col min="4" max="4" width="13.26953125" bestFit="1" customWidth="1"/>
    <col min="7" max="7" width="19.26953125" bestFit="1" customWidth="1"/>
    <col min="10" max="10" width="13.453125" bestFit="1" customWidth="1"/>
    <col min="11" max="11" width="18.36328125" bestFit="1" customWidth="1"/>
    <col min="12" max="12" width="16.36328125" bestFit="1" customWidth="1"/>
    <col min="15" max="15" width="13.81640625" bestFit="1" customWidth="1"/>
    <col min="16" max="16" width="19.6328125" bestFit="1" customWidth="1"/>
    <col min="17" max="17" width="23.08984375" bestFit="1" customWidth="1"/>
    <col min="18" max="18" width="18.36328125" bestFit="1" customWidth="1"/>
    <col min="19" max="19" width="21.81640625" bestFit="1" customWidth="1"/>
    <col min="20" max="20" width="19.6328125" bestFit="1" customWidth="1"/>
    <col min="21" max="21" width="23.08984375" bestFit="1" customWidth="1"/>
    <col min="22" max="22" width="18.36328125" bestFit="1" customWidth="1"/>
    <col min="23" max="23" width="21.81640625" bestFit="1" customWidth="1"/>
    <col min="24" max="24" width="11.453125" bestFit="1" customWidth="1"/>
  </cols>
  <sheetData>
    <row r="1" spans="1:20" ht="18.5" x14ac:dyDescent="0.45">
      <c r="A1" s="1" t="s">
        <v>63</v>
      </c>
    </row>
    <row r="2" spans="1:20" x14ac:dyDescent="0.35">
      <c r="A2" s="2" t="s">
        <v>0</v>
      </c>
      <c r="C2" s="3"/>
    </row>
    <row r="3" spans="1:20" x14ac:dyDescent="0.35">
      <c r="A3" s="2" t="s">
        <v>1</v>
      </c>
    </row>
    <row r="4" spans="1:20" x14ac:dyDescent="0.35">
      <c r="A4" s="2" t="s">
        <v>2</v>
      </c>
    </row>
    <row r="5" spans="1:20" x14ac:dyDescent="0.35">
      <c r="A5" s="2" t="s">
        <v>3</v>
      </c>
      <c r="C5">
        <f>9.09+0.807-9.129</f>
        <v>0.76800000000000068</v>
      </c>
    </row>
    <row r="6" spans="1:20" x14ac:dyDescent="0.35">
      <c r="A6" s="2" t="s">
        <v>4</v>
      </c>
      <c r="C6">
        <f>AVERAGE(G20:G25)/(35*60)</f>
        <v>5.1903968253968254E-3</v>
      </c>
    </row>
    <row r="7" spans="1:20" ht="15" thickBot="1" x14ac:dyDescent="0.4">
      <c r="A7" s="2" t="s">
        <v>5</v>
      </c>
      <c r="C7">
        <v>2140000</v>
      </c>
    </row>
    <row r="8" spans="1:20" x14ac:dyDescent="0.35">
      <c r="A8" s="4" t="s">
        <v>6</v>
      </c>
      <c r="B8" s="5"/>
      <c r="C8" s="6">
        <f>AVERAGE(Q25:Q26)</f>
        <v>-16.45641664359929</v>
      </c>
    </row>
    <row r="9" spans="1:20" ht="15" thickBot="1" x14ac:dyDescent="0.4">
      <c r="A9" s="7" t="s">
        <v>7</v>
      </c>
      <c r="B9" s="8"/>
      <c r="C9" s="9">
        <f>AVERAGE(S24:S27)</f>
        <v>-16.366817865155369</v>
      </c>
    </row>
    <row r="11" spans="1:20" x14ac:dyDescent="0.35">
      <c r="A11" s="56" t="s">
        <v>8</v>
      </c>
      <c r="B11" s="57"/>
      <c r="C11" s="57"/>
      <c r="D11" s="57"/>
      <c r="E11" s="58" t="s">
        <v>9</v>
      </c>
      <c r="F11" s="58"/>
      <c r="G11" s="58"/>
      <c r="H11" s="59"/>
      <c r="I11" s="59"/>
      <c r="J11" s="59"/>
      <c r="K11" s="60" t="s">
        <v>10</v>
      </c>
      <c r="L11" s="61" t="s">
        <v>11</v>
      </c>
      <c r="M11" s="62"/>
      <c r="N11" s="62"/>
      <c r="O11" s="62"/>
      <c r="P11" s="63" t="s">
        <v>12</v>
      </c>
      <c r="Q11" s="64"/>
      <c r="R11" s="64"/>
      <c r="S11" s="64"/>
      <c r="T11" s="64"/>
    </row>
    <row r="12" spans="1:20" x14ac:dyDescent="0.35">
      <c r="A12" s="65" t="s">
        <v>13</v>
      </c>
      <c r="B12" s="65" t="s">
        <v>14</v>
      </c>
      <c r="C12" s="65" t="s">
        <v>15</v>
      </c>
      <c r="D12" s="65" t="s">
        <v>16</v>
      </c>
      <c r="E12" s="66" t="s">
        <v>17</v>
      </c>
      <c r="F12" s="66" t="s">
        <v>18</v>
      </c>
      <c r="G12" s="66" t="s">
        <v>59</v>
      </c>
      <c r="H12" s="66" t="s">
        <v>20</v>
      </c>
      <c r="I12" s="66" t="s">
        <v>21</v>
      </c>
      <c r="J12" s="66" t="s">
        <v>22</v>
      </c>
      <c r="K12" s="67" t="s">
        <v>60</v>
      </c>
      <c r="L12" s="28" t="s">
        <v>28</v>
      </c>
      <c r="M12" s="28" t="s">
        <v>29</v>
      </c>
      <c r="N12" s="28" t="s">
        <v>30</v>
      </c>
      <c r="O12" s="28" t="s">
        <v>31</v>
      </c>
      <c r="P12" s="68" t="s">
        <v>32</v>
      </c>
      <c r="Q12" s="68" t="s">
        <v>33</v>
      </c>
      <c r="R12" s="68" t="s">
        <v>34</v>
      </c>
      <c r="S12" s="68" t="s">
        <v>35</v>
      </c>
      <c r="T12" s="64" t="s">
        <v>36</v>
      </c>
    </row>
    <row r="13" spans="1:20" x14ac:dyDescent="0.35">
      <c r="A13" s="31">
        <v>0</v>
      </c>
      <c r="B13" s="38">
        <v>43649</v>
      </c>
      <c r="C13" s="33">
        <v>0.39583333333333331</v>
      </c>
      <c r="D13" s="34">
        <v>0</v>
      </c>
      <c r="E13" s="31"/>
      <c r="F13" s="31"/>
      <c r="G13" s="31"/>
      <c r="H13" s="31">
        <v>7.83</v>
      </c>
      <c r="I13" s="31">
        <v>11.439</v>
      </c>
      <c r="J13" s="31">
        <v>0.16800000000000001</v>
      </c>
      <c r="K13" s="31">
        <f>(J13+I13)/I13</f>
        <v>1.014686598478888</v>
      </c>
      <c r="L13" s="31">
        <v>7.7200000000000001E-4</v>
      </c>
      <c r="M13" s="31">
        <f>L13/24.305</f>
        <v>3.1763011725982307E-5</v>
      </c>
      <c r="N13" s="31">
        <v>-0.1158</v>
      </c>
      <c r="O13" s="31">
        <f>N13/60.08</f>
        <v>-1.9274300932090546E-3</v>
      </c>
      <c r="P13" s="31">
        <f t="shared" ref="P13:P27" si="0">(M13*10^(-6)*$C$6)/($C$5*$C$7*4)</f>
        <v>2.5077674020939897E-20</v>
      </c>
      <c r="Q13" s="31">
        <f>LOG(P13)</f>
        <v>-19.600712747215965</v>
      </c>
      <c r="R13" s="31">
        <f t="shared" ref="R13:R27" si="1">(O13*10^(-6)*$C$6)/($C$5*$C$7*6)</f>
        <v>-1.0145021089862588E-18</v>
      </c>
      <c r="S13" s="31" t="e">
        <f>LOG(R13)</f>
        <v>#NUM!</v>
      </c>
      <c r="T13" s="31">
        <f>O13/M13</f>
        <v>-60.681591211717709</v>
      </c>
    </row>
    <row r="14" spans="1:20" x14ac:dyDescent="0.35">
      <c r="A14" s="35">
        <v>1</v>
      </c>
      <c r="B14" s="32">
        <v>43649</v>
      </c>
      <c r="C14" s="33">
        <v>0.47916666666666669</v>
      </c>
      <c r="D14" s="34">
        <v>2</v>
      </c>
      <c r="E14" s="31">
        <v>6.6719999999999997</v>
      </c>
      <c r="F14" s="35">
        <v>17.315000000000001</v>
      </c>
      <c r="G14" s="35">
        <f>F14-E14</f>
        <v>10.643000000000001</v>
      </c>
      <c r="H14" s="35">
        <v>7.79</v>
      </c>
      <c r="I14" s="35">
        <v>4.67</v>
      </c>
      <c r="J14" s="31">
        <v>4.2999999999999997E-2</v>
      </c>
      <c r="K14" s="31">
        <f t="shared" ref="K14:K27" si="2">(J14+I14)/I14</f>
        <v>1.0092077087794433</v>
      </c>
      <c r="L14" s="35">
        <v>0.92738299999999996</v>
      </c>
      <c r="M14" s="31">
        <f t="shared" ref="M14:M27" si="3">L14/24.305</f>
        <v>3.8156058424192549E-2</v>
      </c>
      <c r="N14" s="35">
        <v>3.3513999999999999</v>
      </c>
      <c r="O14" s="31">
        <f t="shared" ref="O14:O27" si="4">N14/60.08</f>
        <v>5.5782290279627167E-2</v>
      </c>
      <c r="P14" s="31">
        <f t="shared" si="0"/>
        <v>3.0125140630260755E-17</v>
      </c>
      <c r="Q14" s="31">
        <f t="shared" ref="Q14:Q27" si="5">LOG(P14)</f>
        <v>-16.521070917037701</v>
      </c>
      <c r="R14" s="31">
        <f t="shared" si="1"/>
        <v>2.9360987634339794E-17</v>
      </c>
      <c r="S14" s="31">
        <f t="shared" ref="S14:S27" si="6">LOG(R14)</f>
        <v>-16.53222933986871</v>
      </c>
      <c r="T14" s="31">
        <f t="shared" ref="T14:T27" si="7">O14/M14</f>
        <v>1.4619510657908743</v>
      </c>
    </row>
    <row r="15" spans="1:20" x14ac:dyDescent="0.35">
      <c r="A15" s="35">
        <v>2</v>
      </c>
      <c r="B15" s="38">
        <v>43649</v>
      </c>
      <c r="C15" s="33">
        <v>0.60416666666666663</v>
      </c>
      <c r="D15" s="37">
        <f>D14+3</f>
        <v>5</v>
      </c>
      <c r="E15" s="31">
        <v>6.5670000000000002</v>
      </c>
      <c r="F15" s="35">
        <v>18.952999999999999</v>
      </c>
      <c r="G15" s="35">
        <f t="shared" ref="G15:G27" si="8">F15-E15</f>
        <v>12.385999999999999</v>
      </c>
      <c r="H15" s="35">
        <v>7.85</v>
      </c>
      <c r="I15" s="35">
        <v>5.6459999999999999</v>
      </c>
      <c r="J15" s="35">
        <v>8.4000000000000005E-2</v>
      </c>
      <c r="K15" s="31">
        <f t="shared" si="2"/>
        <v>1.0148777895855472</v>
      </c>
      <c r="L15" s="35">
        <v>1.30375</v>
      </c>
      <c r="M15" s="31">
        <f t="shared" si="3"/>
        <v>5.3641226085167658E-2</v>
      </c>
      <c r="N15" s="35">
        <v>5.1212999999999997</v>
      </c>
      <c r="O15" s="31">
        <f t="shared" si="4"/>
        <v>8.524134487350199E-2</v>
      </c>
      <c r="P15" s="31">
        <f t="shared" si="0"/>
        <v>4.2351058944041954E-17</v>
      </c>
      <c r="Q15" s="31">
        <f t="shared" si="5"/>
        <v>-16.373135726117113</v>
      </c>
      <c r="R15" s="31">
        <f t="shared" si="1"/>
        <v>4.4866750006488143E-17</v>
      </c>
      <c r="S15" s="31">
        <f t="shared" si="6"/>
        <v>-16.348075388130567</v>
      </c>
      <c r="T15" s="31">
        <f t="shared" si="7"/>
        <v>1.589101351601508</v>
      </c>
    </row>
    <row r="16" spans="1:20" x14ac:dyDescent="0.35">
      <c r="A16" s="31">
        <v>3</v>
      </c>
      <c r="B16" s="32">
        <v>43650</v>
      </c>
      <c r="C16" s="33">
        <v>0.81597222222222221</v>
      </c>
      <c r="D16" s="37">
        <f>D15+3+5/60</f>
        <v>8.0833333333333339</v>
      </c>
      <c r="E16" s="35">
        <v>6.6710000000000003</v>
      </c>
      <c r="F16" s="35">
        <v>18.876000000000001</v>
      </c>
      <c r="G16" s="35">
        <f t="shared" si="8"/>
        <v>12.205000000000002</v>
      </c>
      <c r="H16" s="35">
        <v>7.91</v>
      </c>
      <c r="I16" s="35">
        <v>5.7679999999999998</v>
      </c>
      <c r="J16" s="35">
        <v>9.8000000000000004E-2</v>
      </c>
      <c r="K16" s="31">
        <f t="shared" si="2"/>
        <v>1.0169902912621358</v>
      </c>
      <c r="L16" s="35">
        <v>1.43031</v>
      </c>
      <c r="M16" s="31">
        <f t="shared" si="3"/>
        <v>5.8848385105945276E-2</v>
      </c>
      <c r="N16" s="35">
        <v>5.9298999999999999</v>
      </c>
      <c r="O16" s="31">
        <f t="shared" si="4"/>
        <v>9.8700066577896137E-2</v>
      </c>
      <c r="P16" s="31">
        <f t="shared" si="0"/>
        <v>4.6462238249858216E-17</v>
      </c>
      <c r="Q16" s="31">
        <f t="shared" si="5"/>
        <v>-16.332899872535172</v>
      </c>
      <c r="R16" s="31">
        <f t="shared" si="1"/>
        <v>5.1950743144020867E-17</v>
      </c>
      <c r="S16" s="31">
        <f t="shared" si="6"/>
        <v>-16.284408235574769</v>
      </c>
      <c r="T16" s="31">
        <f t="shared" si="7"/>
        <v>1.6771924395241351</v>
      </c>
    </row>
    <row r="17" spans="1:20" x14ac:dyDescent="0.35">
      <c r="A17" s="35">
        <v>4</v>
      </c>
      <c r="B17" s="38">
        <v>43650</v>
      </c>
      <c r="C17" s="36">
        <v>0.38194444444444442</v>
      </c>
      <c r="D17" s="37">
        <f>24-20/60</f>
        <v>23.666666666666668</v>
      </c>
      <c r="E17" s="35">
        <v>6.6459999999999999</v>
      </c>
      <c r="F17" s="35">
        <v>18.048999999999999</v>
      </c>
      <c r="G17" s="35">
        <f t="shared" si="8"/>
        <v>11.402999999999999</v>
      </c>
      <c r="H17" s="35">
        <v>8.01</v>
      </c>
      <c r="I17" s="35">
        <v>5.2290000000000001</v>
      </c>
      <c r="J17" s="35">
        <v>9.0999999999999998E-2</v>
      </c>
      <c r="K17" s="31">
        <f t="shared" si="2"/>
        <v>1.0174029451137885</v>
      </c>
      <c r="L17" s="35">
        <v>1.3317099999999999</v>
      </c>
      <c r="M17" s="31">
        <f t="shared" si="3"/>
        <v>5.4791606665295207E-2</v>
      </c>
      <c r="N17" s="35">
        <v>5.7762000000000002</v>
      </c>
      <c r="O17" s="31">
        <f t="shared" si="4"/>
        <v>9.6141810918774967E-2</v>
      </c>
      <c r="P17" s="31">
        <f t="shared" si="0"/>
        <v>4.3259312526458382E-17</v>
      </c>
      <c r="Q17" s="31">
        <f t="shared" si="5"/>
        <v>-16.363920386615327</v>
      </c>
      <c r="R17" s="31">
        <f t="shared" si="1"/>
        <v>5.0604206234252395E-17</v>
      </c>
      <c r="S17" s="31">
        <f t="shared" si="6"/>
        <v>-16.295813382994123</v>
      </c>
      <c r="T17" s="31">
        <f t="shared" si="7"/>
        <v>1.7546813603418354</v>
      </c>
    </row>
    <row r="18" spans="1:20" x14ac:dyDescent="0.35">
      <c r="A18" s="35">
        <v>5</v>
      </c>
      <c r="B18" s="32">
        <v>43650</v>
      </c>
      <c r="C18" s="36">
        <v>0.54861111111111105</v>
      </c>
      <c r="D18" s="37">
        <f>D17+4</f>
        <v>27.666666666666668</v>
      </c>
      <c r="E18" s="35">
        <v>6.649</v>
      </c>
      <c r="F18" s="35">
        <v>17.626000000000001</v>
      </c>
      <c r="G18" s="35">
        <f t="shared" si="8"/>
        <v>10.977</v>
      </c>
      <c r="H18" s="35">
        <v>7.85</v>
      </c>
      <c r="I18" s="35">
        <v>4.9669999999999996</v>
      </c>
      <c r="J18" s="35">
        <v>7.3999999999999996E-2</v>
      </c>
      <c r="K18" s="31">
        <f t="shared" si="2"/>
        <v>1.0148983289712099</v>
      </c>
      <c r="L18" s="35">
        <v>1.28915</v>
      </c>
      <c r="M18" s="31">
        <f t="shared" si="3"/>
        <v>5.3040526640608932E-2</v>
      </c>
      <c r="N18" s="35">
        <v>5.6534000000000004</v>
      </c>
      <c r="O18" s="31">
        <f t="shared" si="4"/>
        <v>9.4097869507323573E-2</v>
      </c>
      <c r="P18" s="31">
        <f t="shared" si="0"/>
        <v>4.1876792051936096E-17</v>
      </c>
      <c r="Q18" s="31">
        <f t="shared" si="5"/>
        <v>-16.378026594603114</v>
      </c>
      <c r="R18" s="31">
        <f t="shared" si="1"/>
        <v>4.9528378436467322E-17</v>
      </c>
      <c r="S18" s="31">
        <f t="shared" si="6"/>
        <v>-16.305145890624903</v>
      </c>
      <c r="T18" s="31">
        <f t="shared" si="7"/>
        <v>1.7740749473494157</v>
      </c>
    </row>
    <row r="19" spans="1:20" x14ac:dyDescent="0.35">
      <c r="A19" s="31">
        <v>6</v>
      </c>
      <c r="B19" s="32">
        <v>43650</v>
      </c>
      <c r="C19" s="36">
        <v>0.71527777777777779</v>
      </c>
      <c r="D19" s="37">
        <f>D18+4</f>
        <v>31.666666666666668</v>
      </c>
      <c r="E19" s="35">
        <v>6.6920000000000002</v>
      </c>
      <c r="F19" s="35">
        <v>17.701000000000001</v>
      </c>
      <c r="G19" s="35">
        <f t="shared" si="8"/>
        <v>11.009</v>
      </c>
      <c r="H19" s="35">
        <v>7.83</v>
      </c>
      <c r="I19" s="35">
        <v>4.9349999999999996</v>
      </c>
      <c r="J19" s="35">
        <v>7.9000000000000001E-2</v>
      </c>
      <c r="K19" s="31">
        <f t="shared" si="2"/>
        <v>1.0160081053698073</v>
      </c>
      <c r="L19" s="35">
        <v>1.2518899999999999</v>
      </c>
      <c r="M19" s="31">
        <f t="shared" si="3"/>
        <v>5.1507508743056984E-2</v>
      </c>
      <c r="N19" s="35">
        <v>5.5382999999999996</v>
      </c>
      <c r="O19" s="31">
        <f t="shared" si="4"/>
        <v>9.2182090545938747E-2</v>
      </c>
      <c r="P19" s="31">
        <f t="shared" si="0"/>
        <v>4.0666436956054987E-17</v>
      </c>
      <c r="Q19" s="31">
        <f t="shared" si="5"/>
        <v>-16.390763877217033</v>
      </c>
      <c r="R19" s="31">
        <f t="shared" si="1"/>
        <v>4.852000889636094E-17</v>
      </c>
      <c r="S19" s="31">
        <f t="shared" si="6"/>
        <v>-16.314079128175617</v>
      </c>
      <c r="T19" s="31">
        <f t="shared" si="7"/>
        <v>1.7896825685316131</v>
      </c>
    </row>
    <row r="20" spans="1:20" x14ac:dyDescent="0.35">
      <c r="A20" s="35">
        <v>7</v>
      </c>
      <c r="B20" s="32">
        <v>43651</v>
      </c>
      <c r="C20" s="36">
        <v>0.38194444444444442</v>
      </c>
      <c r="D20" s="37">
        <f>D17+24</f>
        <v>47.666666666666671</v>
      </c>
      <c r="E20" s="35">
        <v>6.625</v>
      </c>
      <c r="F20" s="35">
        <v>17.850000000000001</v>
      </c>
      <c r="G20" s="35">
        <f t="shared" si="8"/>
        <v>11.225000000000001</v>
      </c>
      <c r="H20" s="35">
        <v>7.88</v>
      </c>
      <c r="I20" s="35">
        <v>4.8840000000000003</v>
      </c>
      <c r="J20" s="35">
        <v>8.7999999999999995E-2</v>
      </c>
      <c r="K20" s="31">
        <f t="shared" si="2"/>
        <v>1.0180180180180181</v>
      </c>
      <c r="L20" s="35">
        <v>1.1508400000000001</v>
      </c>
      <c r="M20" s="31">
        <f t="shared" si="3"/>
        <v>4.7349927998354253E-2</v>
      </c>
      <c r="N20" s="35">
        <v>5.2735000000000003</v>
      </c>
      <c r="O20" s="31">
        <f t="shared" si="4"/>
        <v>8.7774633821571246E-2</v>
      </c>
      <c r="P20" s="31">
        <f t="shared" si="0"/>
        <v>3.7383925350075743E-17</v>
      </c>
      <c r="Q20" s="31">
        <f t="shared" si="5"/>
        <v>-16.427315099201873</v>
      </c>
      <c r="R20" s="31">
        <f t="shared" si="1"/>
        <v>4.6200145697228292E-17</v>
      </c>
      <c r="S20" s="31">
        <f t="shared" si="6"/>
        <v>-16.335356654846418</v>
      </c>
      <c r="T20" s="31">
        <f t="shared" si="7"/>
        <v>1.8537437654524425</v>
      </c>
    </row>
    <row r="21" spans="1:20" x14ac:dyDescent="0.35">
      <c r="A21" s="35">
        <v>8</v>
      </c>
      <c r="B21" s="32">
        <v>43651</v>
      </c>
      <c r="C21" s="36">
        <v>0.4861111111111111</v>
      </c>
      <c r="D21" s="37">
        <f>D20+2.5</f>
        <v>50.166666666666671</v>
      </c>
      <c r="E21" s="35">
        <v>6.6459999999999999</v>
      </c>
      <c r="F21" s="35">
        <v>17.32</v>
      </c>
      <c r="G21" s="35">
        <f t="shared" si="8"/>
        <v>10.673999999999999</v>
      </c>
      <c r="H21" s="35">
        <v>7.84</v>
      </c>
      <c r="I21" s="35">
        <v>4.7279999999999998</v>
      </c>
      <c r="J21" s="35">
        <v>7.2999999999999995E-2</v>
      </c>
      <c r="K21" s="31">
        <f t="shared" si="2"/>
        <v>1.0154399323181049</v>
      </c>
      <c r="L21" s="35">
        <v>1.1491800000000001</v>
      </c>
      <c r="M21" s="31">
        <f t="shared" si="3"/>
        <v>4.7281629294383877E-2</v>
      </c>
      <c r="N21" s="35">
        <v>5.2019000000000002</v>
      </c>
      <c r="O21" s="31">
        <f t="shared" si="4"/>
        <v>8.6582889480692413E-2</v>
      </c>
      <c r="P21" s="31">
        <f t="shared" si="0"/>
        <v>3.733000185412398E-17</v>
      </c>
      <c r="Q21" s="31">
        <f t="shared" si="5"/>
        <v>-16.427941988502955</v>
      </c>
      <c r="R21" s="31">
        <f t="shared" si="1"/>
        <v>4.5572871508943174E-17</v>
      </c>
      <c r="S21" s="31">
        <f t="shared" si="6"/>
        <v>-16.341293606019281</v>
      </c>
      <c r="T21" s="31">
        <f t="shared" si="7"/>
        <v>1.8312162836354868</v>
      </c>
    </row>
    <row r="22" spans="1:20" x14ac:dyDescent="0.35">
      <c r="A22" s="31">
        <v>9</v>
      </c>
      <c r="B22" s="32">
        <v>43651</v>
      </c>
      <c r="C22" s="36">
        <v>0.59027777777777779</v>
      </c>
      <c r="D22" s="37">
        <f>D21+2.5</f>
        <v>52.666666666666671</v>
      </c>
      <c r="E22" s="35">
        <v>6.657</v>
      </c>
      <c r="F22" s="35">
        <v>17.474</v>
      </c>
      <c r="G22" s="35">
        <f t="shared" si="8"/>
        <v>10.817</v>
      </c>
      <c r="H22" s="35">
        <v>7.82</v>
      </c>
      <c r="I22" s="35">
        <v>4.8559999999999999</v>
      </c>
      <c r="J22" s="35">
        <v>7.0999999999999994E-2</v>
      </c>
      <c r="K22" s="31">
        <f t="shared" si="2"/>
        <v>1.0146210873146622</v>
      </c>
      <c r="L22" s="35">
        <v>1.13933</v>
      </c>
      <c r="M22" s="31">
        <f t="shared" si="3"/>
        <v>4.6876362888294588E-2</v>
      </c>
      <c r="N22" s="35">
        <v>5.1638999999999999</v>
      </c>
      <c r="O22" s="31">
        <f t="shared" si="4"/>
        <v>8.5950399467376828E-2</v>
      </c>
      <c r="P22" s="31">
        <f t="shared" si="0"/>
        <v>3.7010034122121056E-17</v>
      </c>
      <c r="Q22" s="31">
        <f t="shared" si="5"/>
        <v>-16.431680514498456</v>
      </c>
      <c r="R22" s="31">
        <f t="shared" si="1"/>
        <v>4.5239960626892413E-17</v>
      </c>
      <c r="S22" s="31">
        <f t="shared" si="6"/>
        <v>-16.344477781720297</v>
      </c>
      <c r="T22" s="31">
        <f t="shared" si="7"/>
        <v>1.833555211444089</v>
      </c>
    </row>
    <row r="23" spans="1:20" x14ac:dyDescent="0.35">
      <c r="A23" s="35">
        <v>10</v>
      </c>
      <c r="B23" s="32">
        <v>43651</v>
      </c>
      <c r="C23" s="36">
        <v>0.69444444444444453</v>
      </c>
      <c r="D23" s="37">
        <f>D22+2.5</f>
        <v>55.166666666666671</v>
      </c>
      <c r="E23" s="35">
        <v>6.6779999999999999</v>
      </c>
      <c r="F23" s="35">
        <v>18.056000000000001</v>
      </c>
      <c r="G23" s="35">
        <f t="shared" si="8"/>
        <v>11.378</v>
      </c>
      <c r="H23" s="35">
        <v>7.79</v>
      </c>
      <c r="I23" s="35">
        <v>5.0259999999999998</v>
      </c>
      <c r="J23" s="35">
        <v>6.5000000000000002E-2</v>
      </c>
      <c r="K23" s="31">
        <f t="shared" si="2"/>
        <v>1.0129327497015521</v>
      </c>
      <c r="L23" s="35">
        <v>1.1348</v>
      </c>
      <c r="M23" s="31">
        <f t="shared" si="3"/>
        <v>4.6689981485291097E-2</v>
      </c>
      <c r="N23" s="35">
        <v>5.1909999999999998</v>
      </c>
      <c r="O23" s="31">
        <f t="shared" si="4"/>
        <v>8.6401464713715043E-2</v>
      </c>
      <c r="P23" s="31">
        <f t="shared" si="0"/>
        <v>3.6862881449433425E-17</v>
      </c>
      <c r="Q23" s="31">
        <f t="shared" si="5"/>
        <v>-16.433410720427887</v>
      </c>
      <c r="R23" s="31">
        <f t="shared" si="1"/>
        <v>4.547737865067072E-17</v>
      </c>
      <c r="S23" s="31">
        <f t="shared" si="6"/>
        <v>-16.342204576314082</v>
      </c>
      <c r="T23" s="31">
        <f t="shared" si="7"/>
        <v>1.8505354246271095</v>
      </c>
    </row>
    <row r="24" spans="1:20" x14ac:dyDescent="0.35">
      <c r="A24" s="35">
        <v>11</v>
      </c>
      <c r="B24" s="32">
        <v>43652</v>
      </c>
      <c r="C24" s="36">
        <v>0.3611111111111111</v>
      </c>
      <c r="D24" s="37">
        <f>D20+24-0.5</f>
        <v>71.166666666666671</v>
      </c>
      <c r="E24" s="35">
        <v>6.6369999999999996</v>
      </c>
      <c r="F24" s="35">
        <v>17.472000000000001</v>
      </c>
      <c r="G24" s="35">
        <f t="shared" si="8"/>
        <v>10.835000000000001</v>
      </c>
      <c r="H24" s="35">
        <v>7.8</v>
      </c>
      <c r="I24" s="35">
        <v>5.0990000000000002</v>
      </c>
      <c r="J24" s="35">
        <v>5.1999999999999998E-2</v>
      </c>
      <c r="K24" s="31">
        <f t="shared" si="2"/>
        <v>1.0101980780545203</v>
      </c>
      <c r="L24" s="35">
        <v>1.09605</v>
      </c>
      <c r="M24" s="31">
        <f t="shared" si="3"/>
        <v>4.5095659329356101E-2</v>
      </c>
      <c r="N24" s="35">
        <v>4.9309000000000003</v>
      </c>
      <c r="O24" s="31">
        <f t="shared" si="4"/>
        <v>8.2072237017310257E-2</v>
      </c>
      <c r="P24" s="31">
        <f t="shared" si="0"/>
        <v>3.560412514333054E-17</v>
      </c>
      <c r="Q24" s="31">
        <f t="shared" si="5"/>
        <v>-16.448499681150803</v>
      </c>
      <c r="R24" s="31">
        <f t="shared" si="1"/>
        <v>4.319869127116014E-17</v>
      </c>
      <c r="S24" s="31">
        <f t="shared" si="6"/>
        <v>-16.364529410183305</v>
      </c>
      <c r="T24" s="31">
        <f t="shared" si="7"/>
        <v>1.8199586886599386</v>
      </c>
    </row>
    <row r="25" spans="1:20" x14ac:dyDescent="0.35">
      <c r="A25" s="31">
        <v>12</v>
      </c>
      <c r="B25" s="32">
        <v>43652</v>
      </c>
      <c r="C25" s="36">
        <v>0.44444444444444442</v>
      </c>
      <c r="D25" s="37">
        <f>D24+2</f>
        <v>73.166666666666671</v>
      </c>
      <c r="E25" s="35">
        <v>6.65</v>
      </c>
      <c r="F25" s="35">
        <v>17.12</v>
      </c>
      <c r="G25" s="35">
        <f t="shared" si="8"/>
        <v>10.47</v>
      </c>
      <c r="H25" s="35">
        <v>7.82</v>
      </c>
      <c r="I25" s="35">
        <v>4.8079999999999998</v>
      </c>
      <c r="J25" s="35">
        <v>7.4999999999999997E-2</v>
      </c>
      <c r="K25" s="31">
        <f t="shared" si="2"/>
        <v>1.0155990016638936</v>
      </c>
      <c r="L25" s="35">
        <v>1.0854999999999999</v>
      </c>
      <c r="M25" s="31">
        <f t="shared" si="3"/>
        <v>4.4661592264966056E-2</v>
      </c>
      <c r="N25" s="35">
        <v>4.9253999999999998</v>
      </c>
      <c r="O25" s="31">
        <f t="shared" si="4"/>
        <v>8.1980692410119835E-2</v>
      </c>
      <c r="P25" s="31">
        <f t="shared" si="0"/>
        <v>3.5261418587733496E-17</v>
      </c>
      <c r="Q25" s="31">
        <f t="shared" si="5"/>
        <v>-16.452700219761262</v>
      </c>
      <c r="R25" s="31">
        <f t="shared" si="1"/>
        <v>4.315050680138963E-17</v>
      </c>
      <c r="S25" s="31">
        <f t="shared" si="6"/>
        <v>-16.365014099143341</v>
      </c>
      <c r="T25" s="31">
        <f t="shared" si="7"/>
        <v>1.8355971709147514</v>
      </c>
    </row>
    <row r="26" spans="1:20" x14ac:dyDescent="0.35">
      <c r="A26" s="35">
        <v>13</v>
      </c>
      <c r="B26" s="32">
        <v>43652</v>
      </c>
      <c r="C26" s="36">
        <v>0.52777777777777779</v>
      </c>
      <c r="D26" s="37">
        <f>D25+2</f>
        <v>75.166666666666671</v>
      </c>
      <c r="E26" s="35">
        <v>6.6929999999999996</v>
      </c>
      <c r="F26" s="35">
        <v>17.728999999999999</v>
      </c>
      <c r="G26" s="35">
        <f t="shared" si="8"/>
        <v>11.036</v>
      </c>
      <c r="H26" s="35">
        <v>7.81</v>
      </c>
      <c r="I26" s="35">
        <v>4.851</v>
      </c>
      <c r="J26" s="35">
        <v>7.9000000000000001E-2</v>
      </c>
      <c r="K26" s="31">
        <f t="shared" si="2"/>
        <v>1.0162853019995877</v>
      </c>
      <c r="L26" s="35">
        <v>1.06708</v>
      </c>
      <c r="M26" s="31">
        <f t="shared" si="3"/>
        <v>4.3903723513680312E-2</v>
      </c>
      <c r="N26" s="35">
        <v>4.8956</v>
      </c>
      <c r="O26" s="31">
        <f t="shared" si="4"/>
        <v>8.1484687083888147E-2</v>
      </c>
      <c r="P26" s="31">
        <f t="shared" si="0"/>
        <v>3.4663062686871179E-17</v>
      </c>
      <c r="Q26" s="31">
        <f t="shared" si="5"/>
        <v>-16.460133067437315</v>
      </c>
      <c r="R26" s="31">
        <f t="shared" si="1"/>
        <v>4.2889434583360348E-17</v>
      </c>
      <c r="S26" s="31">
        <f t="shared" si="6"/>
        <v>-16.367649679080237</v>
      </c>
      <c r="T26" s="31">
        <f t="shared" si="7"/>
        <v>1.8559857926058978</v>
      </c>
    </row>
    <row r="27" spans="1:20" x14ac:dyDescent="0.35">
      <c r="A27" s="35">
        <v>14</v>
      </c>
      <c r="B27" s="32">
        <v>43652</v>
      </c>
      <c r="C27" s="36">
        <v>0.61111111111111105</v>
      </c>
      <c r="D27" s="37">
        <f>D26+2</f>
        <v>77.166666666666671</v>
      </c>
      <c r="E27" s="35">
        <v>6.7009999999999996</v>
      </c>
      <c r="F27" s="35">
        <v>17.795000000000002</v>
      </c>
      <c r="G27" s="35">
        <f t="shared" si="8"/>
        <v>11.094000000000001</v>
      </c>
      <c r="H27" s="35">
        <v>7.82</v>
      </c>
      <c r="I27" s="35">
        <v>4.9850000000000003</v>
      </c>
      <c r="J27" s="35">
        <v>8.2000000000000003E-2</v>
      </c>
      <c r="K27" s="31">
        <f t="shared" si="2"/>
        <v>1.0164493480441323</v>
      </c>
      <c r="L27" s="35">
        <v>1.02399</v>
      </c>
      <c r="M27" s="31">
        <f t="shared" si="3"/>
        <v>4.21308372762806E-2</v>
      </c>
      <c r="N27" s="35">
        <v>4.8682999999999996</v>
      </c>
      <c r="O27" s="31">
        <f t="shared" si="4"/>
        <v>8.1030292942742999E-2</v>
      </c>
      <c r="P27" s="31">
        <f t="shared" si="0"/>
        <v>3.3263325674484779E-17</v>
      </c>
      <c r="Q27" s="31">
        <f t="shared" si="5"/>
        <v>-16.478034332089646</v>
      </c>
      <c r="R27" s="31">
        <f t="shared" si="1"/>
        <v>4.265026439704493E-17</v>
      </c>
      <c r="S27" s="31">
        <f t="shared" si="6"/>
        <v>-16.370078272214588</v>
      </c>
      <c r="T27" s="31">
        <f t="shared" si="7"/>
        <v>1.9233012724473566</v>
      </c>
    </row>
    <row r="28" spans="1:20" x14ac:dyDescent="0.35">
      <c r="C28" s="3"/>
    </row>
    <row r="34" spans="1:20" ht="18.5" x14ac:dyDescent="0.45">
      <c r="A34" s="1" t="s">
        <v>64</v>
      </c>
    </row>
    <row r="35" spans="1:20" x14ac:dyDescent="0.35">
      <c r="A35" s="2" t="s">
        <v>0</v>
      </c>
      <c r="C35" s="3"/>
    </row>
    <row r="36" spans="1:20" x14ac:dyDescent="0.35">
      <c r="A36" s="2" t="s">
        <v>1</v>
      </c>
    </row>
    <row r="37" spans="1:20" x14ac:dyDescent="0.35">
      <c r="A37" s="2" t="s">
        <v>2</v>
      </c>
    </row>
    <row r="38" spans="1:20" x14ac:dyDescent="0.35">
      <c r="A38" s="2" t="s">
        <v>3</v>
      </c>
      <c r="C38">
        <f>9.076+0.808-9.116</f>
        <v>0.76800000000000068</v>
      </c>
    </row>
    <row r="39" spans="1:20" x14ac:dyDescent="0.35">
      <c r="A39" s="2" t="s">
        <v>4</v>
      </c>
      <c r="C39">
        <f>AVERAGE(G53:G57)/(35*60)</f>
        <v>5.2981904761904754E-3</v>
      </c>
    </row>
    <row r="40" spans="1:20" ht="15" thickBot="1" x14ac:dyDescent="0.4">
      <c r="A40" s="2" t="s">
        <v>5</v>
      </c>
      <c r="C40">
        <v>2140000</v>
      </c>
    </row>
    <row r="41" spans="1:20" x14ac:dyDescent="0.35">
      <c r="A41" s="4" t="s">
        <v>6</v>
      </c>
      <c r="B41" s="5"/>
      <c r="C41" s="6">
        <f>AVERAGE(Q59:Q60)</f>
        <v>-16.50910404255697</v>
      </c>
    </row>
    <row r="42" spans="1:20" ht="15" thickBot="1" x14ac:dyDescent="0.4">
      <c r="A42" s="7" t="s">
        <v>7</v>
      </c>
      <c r="B42" s="8"/>
      <c r="C42" s="9">
        <f>AVERAGE(S58:S60)</f>
        <v>-16.39741829253105</v>
      </c>
    </row>
    <row r="44" spans="1:20" x14ac:dyDescent="0.35">
      <c r="A44" s="56" t="s">
        <v>8</v>
      </c>
      <c r="B44" s="57"/>
      <c r="C44" s="57"/>
      <c r="D44" s="57"/>
      <c r="E44" s="58" t="s">
        <v>9</v>
      </c>
      <c r="F44" s="58"/>
      <c r="G44" s="58"/>
      <c r="H44" s="59"/>
      <c r="I44" s="59"/>
      <c r="J44" s="59"/>
      <c r="K44" s="60" t="s">
        <v>10</v>
      </c>
      <c r="L44" s="61" t="s">
        <v>11</v>
      </c>
      <c r="M44" s="62"/>
      <c r="N44" s="62"/>
      <c r="O44" s="62"/>
      <c r="P44" s="63" t="s">
        <v>12</v>
      </c>
      <c r="Q44" s="64"/>
      <c r="R44" s="64"/>
      <c r="S44" s="64"/>
      <c r="T44" s="64"/>
    </row>
    <row r="45" spans="1:20" x14ac:dyDescent="0.35">
      <c r="A45" s="65" t="s">
        <v>13</v>
      </c>
      <c r="B45" s="65" t="s">
        <v>14</v>
      </c>
      <c r="C45" s="65" t="s">
        <v>15</v>
      </c>
      <c r="D45" s="65" t="s">
        <v>16</v>
      </c>
      <c r="E45" s="66" t="s">
        <v>17</v>
      </c>
      <c r="F45" s="66" t="s">
        <v>18</v>
      </c>
      <c r="G45" s="66" t="s">
        <v>59</v>
      </c>
      <c r="H45" s="66" t="s">
        <v>20</v>
      </c>
      <c r="I45" s="66" t="s">
        <v>21</v>
      </c>
      <c r="J45" s="66" t="s">
        <v>22</v>
      </c>
      <c r="K45" s="67" t="s">
        <v>60</v>
      </c>
      <c r="L45" s="28" t="s">
        <v>28</v>
      </c>
      <c r="M45" s="28" t="s">
        <v>29</v>
      </c>
      <c r="N45" s="28" t="s">
        <v>30</v>
      </c>
      <c r="O45" s="28" t="s">
        <v>31</v>
      </c>
      <c r="P45" s="68" t="s">
        <v>32</v>
      </c>
      <c r="Q45" s="68" t="s">
        <v>33</v>
      </c>
      <c r="R45" s="68" t="s">
        <v>34</v>
      </c>
      <c r="S45" s="68" t="s">
        <v>35</v>
      </c>
      <c r="T45" s="64" t="s">
        <v>36</v>
      </c>
    </row>
    <row r="46" spans="1:20" x14ac:dyDescent="0.35">
      <c r="A46" s="31">
        <v>0</v>
      </c>
      <c r="B46" s="38">
        <v>43649</v>
      </c>
      <c r="C46" s="33">
        <v>0.39583333333333331</v>
      </c>
      <c r="D46" s="34">
        <v>0</v>
      </c>
      <c r="E46" s="31"/>
      <c r="F46" s="31"/>
      <c r="G46" s="31"/>
      <c r="H46" s="31">
        <v>7.83</v>
      </c>
      <c r="I46" s="31">
        <v>11.439</v>
      </c>
      <c r="J46" s="31">
        <v>0.16800000000000001</v>
      </c>
      <c r="K46" s="31">
        <f>(J46+I46)/I46</f>
        <v>1.014686598478888</v>
      </c>
      <c r="L46" s="31">
        <v>7.7200000000000001E-4</v>
      </c>
      <c r="M46" s="31">
        <f>L46/24.305</f>
        <v>3.1763011725982307E-5</v>
      </c>
      <c r="N46" s="31">
        <v>-0.1158</v>
      </c>
      <c r="O46" s="31">
        <f>N46/60.08</f>
        <v>-1.9274300932090546E-3</v>
      </c>
      <c r="P46" s="31">
        <f t="shared" ref="P46:P60" si="9">(M46*10^(-6)*$C$6)/($C$5*$C$7*4)</f>
        <v>2.5077674020939897E-20</v>
      </c>
      <c r="Q46" s="31">
        <f>LOG(P46)</f>
        <v>-19.600712747215965</v>
      </c>
      <c r="R46" s="31">
        <f>(O46*10^(-6)*$C$6)/($C$5*$C$7*6)</f>
        <v>-1.0145021089862588E-18</v>
      </c>
      <c r="S46" s="31" t="e">
        <f>LOG(R46)</f>
        <v>#NUM!</v>
      </c>
      <c r="T46" s="31">
        <f>O46/M46</f>
        <v>-60.681591211717709</v>
      </c>
    </row>
    <row r="47" spans="1:20" x14ac:dyDescent="0.35">
      <c r="A47" s="35">
        <v>1</v>
      </c>
      <c r="B47" s="32">
        <v>43649</v>
      </c>
      <c r="C47" s="33">
        <v>0.47916666666666669</v>
      </c>
      <c r="D47" s="34">
        <v>2</v>
      </c>
      <c r="E47" s="31">
        <v>6.6890000000000001</v>
      </c>
      <c r="F47" s="35">
        <v>16.663</v>
      </c>
      <c r="G47" s="35">
        <f>F47-E47</f>
        <v>9.9740000000000002</v>
      </c>
      <c r="H47" s="35">
        <v>7.7830000000000004</v>
      </c>
      <c r="I47" s="35">
        <v>4.47</v>
      </c>
      <c r="J47" s="35">
        <v>5.2999999999999999E-2</v>
      </c>
      <c r="K47" s="31">
        <f t="shared" ref="K47:K60" si="10">(J47+I47)/I47</f>
        <v>1.0118568232662193</v>
      </c>
      <c r="L47" s="35">
        <v>0.70782500000000004</v>
      </c>
      <c r="M47" s="31">
        <f>L47/24.305</f>
        <v>2.91226085167661E-2</v>
      </c>
      <c r="N47" s="35">
        <v>2.1486000000000001</v>
      </c>
      <c r="O47" s="31">
        <f t="shared" ref="O47:O60" si="11">N47/60.08</f>
        <v>3.5762316910785623E-2</v>
      </c>
      <c r="P47" s="31">
        <f t="shared" si="9"/>
        <v>2.2993011157865005E-17</v>
      </c>
      <c r="Q47" s="31">
        <f t="shared" ref="Q47:Q60" si="12">LOG(P47)</f>
        <v>-16.638404149930754</v>
      </c>
      <c r="R47" s="31">
        <f>(O47*10^(-6)*$C$39)/($C$38*$C$40*6)</f>
        <v>1.9214406361876729E-17</v>
      </c>
      <c r="S47" s="31">
        <f t="shared" ref="S47:S60" si="13">LOG(R47)</f>
        <v>-16.716373028724679</v>
      </c>
      <c r="T47" s="31">
        <f t="shared" ref="T47:T60" si="14">O47/M47</f>
        <v>1.2279915410117537</v>
      </c>
    </row>
    <row r="48" spans="1:20" x14ac:dyDescent="0.35">
      <c r="A48" s="35">
        <v>2</v>
      </c>
      <c r="B48" s="38">
        <v>43649</v>
      </c>
      <c r="C48" s="33">
        <v>0.60416666666666663</v>
      </c>
      <c r="D48" s="37">
        <f>D47+3</f>
        <v>5</v>
      </c>
      <c r="E48" s="35">
        <v>6.5670000000000002</v>
      </c>
      <c r="F48" s="35">
        <v>19.318000000000001</v>
      </c>
      <c r="G48" s="35">
        <f t="shared" ref="G48:G60" si="15">F48-E48</f>
        <v>12.751000000000001</v>
      </c>
      <c r="H48" s="35">
        <v>7.91</v>
      </c>
      <c r="I48" s="35">
        <v>5.9059999999999997</v>
      </c>
      <c r="J48" s="35">
        <v>8.1000000000000003E-2</v>
      </c>
      <c r="K48" s="31">
        <f t="shared" si="10"/>
        <v>1.0137148662377244</v>
      </c>
      <c r="L48" s="35">
        <v>1.25075</v>
      </c>
      <c r="M48" s="31">
        <f t="shared" ref="M48:M60" si="16">L48/24.305</f>
        <v>5.1460604813824321E-2</v>
      </c>
      <c r="N48" s="35">
        <v>5.0696000000000003</v>
      </c>
      <c r="O48" s="31">
        <f t="shared" si="11"/>
        <v>8.4380825565912129E-2</v>
      </c>
      <c r="P48" s="31">
        <f t="shared" si="9"/>
        <v>4.0629405157630287E-17</v>
      </c>
      <c r="Q48" s="31">
        <f t="shared" si="12"/>
        <v>-16.391159535996252</v>
      </c>
      <c r="R48" s="31">
        <f t="shared" ref="R48:R60" si="17">(O48*10^(-6)*$C$6)/($C$5*$C$7*6)</f>
        <v>4.4413815990645412E-17</v>
      </c>
      <c r="S48" s="31">
        <f t="shared" si="13"/>
        <v>-16.352481911075749</v>
      </c>
      <c r="T48" s="31">
        <f t="shared" si="14"/>
        <v>1.6397169421383122</v>
      </c>
    </row>
    <row r="49" spans="1:20" x14ac:dyDescent="0.35">
      <c r="A49" s="31">
        <v>3</v>
      </c>
      <c r="B49" s="32">
        <v>43650</v>
      </c>
      <c r="C49" s="33">
        <v>0.81597222222222221</v>
      </c>
      <c r="D49" s="37">
        <f>D48+3+5/60</f>
        <v>8.0833333333333339</v>
      </c>
      <c r="E49" s="35">
        <v>6.6920000000000002</v>
      </c>
      <c r="F49" s="35">
        <v>18.86</v>
      </c>
      <c r="G49" s="35">
        <f t="shared" si="15"/>
        <v>12.167999999999999</v>
      </c>
      <c r="H49" s="35">
        <v>7.93</v>
      </c>
      <c r="I49" s="35">
        <v>5.8049999999999997</v>
      </c>
      <c r="J49" s="35">
        <v>7.5999999999999998E-2</v>
      </c>
      <c r="K49" s="31">
        <f t="shared" si="10"/>
        <v>1.0130921619293711</v>
      </c>
      <c r="L49" s="35">
        <v>1.43801</v>
      </c>
      <c r="M49" s="31">
        <f t="shared" si="16"/>
        <v>5.9165192347253655E-2</v>
      </c>
      <c r="N49" s="35">
        <v>5.8418000000000001</v>
      </c>
      <c r="O49" s="31">
        <f t="shared" si="11"/>
        <v>9.7233688415446079E-2</v>
      </c>
      <c r="P49" s="31">
        <f t="shared" si="9"/>
        <v>4.6712365309393501E-17</v>
      </c>
      <c r="Q49" s="31">
        <f t="shared" si="12"/>
        <v>-16.330568141386813</v>
      </c>
      <c r="R49" s="31">
        <f t="shared" si="17"/>
        <v>5.1178915546424245E-17</v>
      </c>
      <c r="S49" s="31">
        <f t="shared" si="13"/>
        <v>-16.290908920816822</v>
      </c>
      <c r="T49" s="31">
        <f t="shared" si="14"/>
        <v>1.6434272341203586</v>
      </c>
    </row>
    <row r="50" spans="1:20" x14ac:dyDescent="0.35">
      <c r="A50" s="35">
        <v>4</v>
      </c>
      <c r="B50" s="38">
        <v>43650</v>
      </c>
      <c r="C50" s="36">
        <v>0.38194444444444442</v>
      </c>
      <c r="D50" s="37">
        <f>24-20/60</f>
        <v>23.666666666666668</v>
      </c>
      <c r="E50" s="35">
        <v>6.6609999999999996</v>
      </c>
      <c r="F50" s="35">
        <v>18.080200000000001</v>
      </c>
      <c r="G50" s="35">
        <f t="shared" si="15"/>
        <v>11.419200000000002</v>
      </c>
      <c r="H50" s="35">
        <v>7.98</v>
      </c>
      <c r="I50" s="35">
        <v>5.5419999999999998</v>
      </c>
      <c r="J50" s="35">
        <v>8.8999999999999996E-2</v>
      </c>
      <c r="K50" s="31">
        <f t="shared" si="10"/>
        <v>1.0160591844099605</v>
      </c>
      <c r="L50" s="35">
        <v>1.3146800000000001</v>
      </c>
      <c r="M50" s="31">
        <f t="shared" si="16"/>
        <v>5.4090927792635267E-2</v>
      </c>
      <c r="N50" s="35">
        <v>5.77</v>
      </c>
      <c r="O50" s="31">
        <f t="shared" si="11"/>
        <v>9.6038615179760312E-2</v>
      </c>
      <c r="P50" s="31">
        <f t="shared" si="9"/>
        <v>4.2706109432447236E-17</v>
      </c>
      <c r="Q50" s="31">
        <f t="shared" si="12"/>
        <v>-16.369509991415175</v>
      </c>
      <c r="R50" s="31">
        <f t="shared" si="17"/>
        <v>5.0549889195602009E-17</v>
      </c>
      <c r="S50" s="31">
        <f t="shared" si="13"/>
        <v>-16.2962797920372</v>
      </c>
      <c r="T50" s="31">
        <f t="shared" si="14"/>
        <v>1.775503196172509</v>
      </c>
    </row>
    <row r="51" spans="1:20" x14ac:dyDescent="0.35">
      <c r="A51" s="35">
        <v>5</v>
      </c>
      <c r="B51" s="32">
        <v>43650</v>
      </c>
      <c r="C51" s="36">
        <v>0.54861111111111105</v>
      </c>
      <c r="D51" s="37">
        <f>D50+4</f>
        <v>27.666666666666668</v>
      </c>
      <c r="E51" s="35">
        <v>6.681</v>
      </c>
      <c r="F51" s="35">
        <v>17.736999999999998</v>
      </c>
      <c r="G51" s="35">
        <f t="shared" si="15"/>
        <v>11.055999999999997</v>
      </c>
      <c r="H51" s="35">
        <v>7.88</v>
      </c>
      <c r="I51" s="35">
        <v>5.0519999999999996</v>
      </c>
      <c r="J51" s="35">
        <v>7.6999999999999999E-2</v>
      </c>
      <c r="K51" s="31">
        <f t="shared" si="10"/>
        <v>1.0152414885193983</v>
      </c>
      <c r="L51" s="35">
        <v>1.27807</v>
      </c>
      <c r="M51" s="31">
        <f t="shared" si="16"/>
        <v>5.2584653363505457E-2</v>
      </c>
      <c r="N51" s="35">
        <v>5.7720000000000002</v>
      </c>
      <c r="O51" s="31">
        <f t="shared" si="11"/>
        <v>9.6071904127829566E-2</v>
      </c>
      <c r="P51" s="31">
        <f t="shared" si="9"/>
        <v>4.1516868958474944E-17</v>
      </c>
      <c r="Q51" s="31">
        <f t="shared" si="12"/>
        <v>-16.381775406733077</v>
      </c>
      <c r="R51" s="31">
        <f t="shared" si="17"/>
        <v>5.0567410820973115E-17</v>
      </c>
      <c r="S51" s="31">
        <f t="shared" si="13"/>
        <v>-16.296129282771474</v>
      </c>
      <c r="T51" s="31">
        <f t="shared" si="14"/>
        <v>1.8269951018542783</v>
      </c>
    </row>
    <row r="52" spans="1:20" x14ac:dyDescent="0.35">
      <c r="A52" s="31">
        <v>6</v>
      </c>
      <c r="B52" s="32">
        <v>43650</v>
      </c>
      <c r="C52" s="36">
        <v>0.71527777777777779</v>
      </c>
      <c r="D52" s="37">
        <f>D51+4</f>
        <v>31.666666666666668</v>
      </c>
      <c r="E52" s="35">
        <v>6.6689999999999996</v>
      </c>
      <c r="F52" s="35">
        <v>18.515000000000001</v>
      </c>
      <c r="G52" s="35">
        <f t="shared" si="15"/>
        <v>11.846</v>
      </c>
      <c r="H52" s="35">
        <v>7.86</v>
      </c>
      <c r="I52" s="35">
        <v>5.6189999999999998</v>
      </c>
      <c r="J52" s="35">
        <v>0.112</v>
      </c>
      <c r="K52" s="31">
        <f t="shared" si="10"/>
        <v>1.0199323723082399</v>
      </c>
      <c r="L52" s="35">
        <v>1.2318899999999999</v>
      </c>
      <c r="M52" s="31">
        <f t="shared" si="16"/>
        <v>5.0684632791606662E-2</v>
      </c>
      <c r="N52" s="35">
        <v>5.5225999999999997</v>
      </c>
      <c r="O52" s="31">
        <f t="shared" si="11"/>
        <v>9.1920772303595202E-2</v>
      </c>
      <c r="P52" s="31">
        <f t="shared" si="9"/>
        <v>4.0016756281937366E-17</v>
      </c>
      <c r="Q52" s="31">
        <f t="shared" si="12"/>
        <v>-16.397758117747507</v>
      </c>
      <c r="R52" s="31">
        <f t="shared" si="17"/>
        <v>4.8382464137197865E-17</v>
      </c>
      <c r="S52" s="31">
        <f t="shared" si="13"/>
        <v>-16.315312016628639</v>
      </c>
      <c r="T52" s="31">
        <f t="shared" si="14"/>
        <v>1.8135826825762702</v>
      </c>
    </row>
    <row r="53" spans="1:20" x14ac:dyDescent="0.35">
      <c r="A53" s="35">
        <v>7</v>
      </c>
      <c r="B53" s="32">
        <v>43651</v>
      </c>
      <c r="C53" s="36">
        <v>0.38194444444444442</v>
      </c>
      <c r="D53" s="37">
        <f>D50+24</f>
        <v>47.666666666666671</v>
      </c>
      <c r="E53" s="35">
        <v>6.673</v>
      </c>
      <c r="F53" s="35">
        <v>17.494</v>
      </c>
      <c r="G53" s="35">
        <f t="shared" si="15"/>
        <v>10.821</v>
      </c>
      <c r="H53" s="35">
        <v>7.85</v>
      </c>
      <c r="I53" s="35">
        <v>4.798</v>
      </c>
      <c r="J53" s="35">
        <v>7.4999999999999997E-2</v>
      </c>
      <c r="K53" s="31">
        <f t="shared" si="10"/>
        <v>1.0156315131304712</v>
      </c>
      <c r="L53" s="35">
        <v>1.0893299999999999</v>
      </c>
      <c r="M53" s="31">
        <f t="shared" si="16"/>
        <v>4.481917300966879E-2</v>
      </c>
      <c r="N53" s="35">
        <v>5</v>
      </c>
      <c r="O53" s="31">
        <f t="shared" si="11"/>
        <v>8.3222370173102536E-2</v>
      </c>
      <c r="P53" s="31">
        <f t="shared" si="9"/>
        <v>3.5385832436827019E-17</v>
      </c>
      <c r="Q53" s="31">
        <f t="shared" si="12"/>
        <v>-16.451170583343501</v>
      </c>
      <c r="R53" s="31">
        <f t="shared" si="17"/>
        <v>4.3804063427731381E-17</v>
      </c>
      <c r="S53" s="31">
        <f t="shared" si="13"/>
        <v>-16.358485600856913</v>
      </c>
      <c r="T53" s="31">
        <f t="shared" si="14"/>
        <v>1.856847518251822</v>
      </c>
    </row>
    <row r="54" spans="1:20" x14ac:dyDescent="0.35">
      <c r="A54" s="35">
        <v>8</v>
      </c>
      <c r="B54" s="32">
        <v>43651</v>
      </c>
      <c r="C54" s="36">
        <v>0.4861111111111111</v>
      </c>
      <c r="D54" s="37">
        <f>D53+2.5</f>
        <v>50.166666666666671</v>
      </c>
      <c r="E54" s="35">
        <v>6.6879999999999997</v>
      </c>
      <c r="F54" s="35">
        <v>17.699000000000002</v>
      </c>
      <c r="G54" s="35">
        <f t="shared" si="15"/>
        <v>11.011000000000003</v>
      </c>
      <c r="H54" s="35">
        <v>7.84</v>
      </c>
      <c r="I54" s="35">
        <v>4.9690000000000003</v>
      </c>
      <c r="J54" s="35">
        <v>7.0999999999999994E-2</v>
      </c>
      <c r="K54" s="31">
        <f t="shared" si="10"/>
        <v>1.0142885892533708</v>
      </c>
      <c r="L54" s="35">
        <v>1.07786</v>
      </c>
      <c r="M54" s="31">
        <f t="shared" si="16"/>
        <v>4.4347253651512035E-2</v>
      </c>
      <c r="N54" s="35">
        <v>4.9043000000000001</v>
      </c>
      <c r="O54" s="31">
        <f t="shared" si="11"/>
        <v>8.1629494007989356E-2</v>
      </c>
      <c r="P54" s="31">
        <f t="shared" si="9"/>
        <v>3.5013240570220565E-17</v>
      </c>
      <c r="Q54" s="31">
        <f t="shared" si="12"/>
        <v>-16.455767692244525</v>
      </c>
      <c r="R54" s="31">
        <f t="shared" si="17"/>
        <v>4.2965653653724603E-17</v>
      </c>
      <c r="S54" s="31">
        <f t="shared" si="13"/>
        <v>-16.366878576725075</v>
      </c>
      <c r="T54" s="31">
        <f t="shared" si="14"/>
        <v>1.8406888203144947</v>
      </c>
    </row>
    <row r="55" spans="1:20" x14ac:dyDescent="0.35">
      <c r="A55" s="31">
        <v>9</v>
      </c>
      <c r="B55" s="32">
        <v>43651</v>
      </c>
      <c r="C55" s="36">
        <v>0.59027777777777779</v>
      </c>
      <c r="D55" s="37">
        <f>D54+2.5</f>
        <v>52.666666666666671</v>
      </c>
      <c r="E55" s="35">
        <v>6.7030000000000003</v>
      </c>
      <c r="F55" s="35">
        <v>18.030999999999999</v>
      </c>
      <c r="G55" s="35">
        <f t="shared" si="15"/>
        <v>11.327999999999999</v>
      </c>
      <c r="H55" s="35">
        <v>7.85</v>
      </c>
      <c r="I55" s="35">
        <v>5.5049999999999999</v>
      </c>
      <c r="J55" s="35">
        <v>7.8E-2</v>
      </c>
      <c r="K55" s="31">
        <f t="shared" si="10"/>
        <v>1.0141689373297003</v>
      </c>
      <c r="L55" s="35">
        <v>1.06803</v>
      </c>
      <c r="M55" s="31">
        <f t="shared" si="16"/>
        <v>4.3942810121374208E-2</v>
      </c>
      <c r="N55" s="35">
        <v>4.8971</v>
      </c>
      <c r="O55" s="31">
        <f t="shared" si="11"/>
        <v>8.1509653794940087E-2</v>
      </c>
      <c r="P55" s="31">
        <f t="shared" si="9"/>
        <v>3.4693922518891763E-17</v>
      </c>
      <c r="Q55" s="31">
        <f t="shared" si="12"/>
        <v>-16.459746595747298</v>
      </c>
      <c r="R55" s="31">
        <f t="shared" si="17"/>
        <v>4.2902575802388671E-17</v>
      </c>
      <c r="S55" s="31">
        <f t="shared" si="13"/>
        <v>-16.367516632682829</v>
      </c>
      <c r="T55" s="31">
        <f t="shared" si="14"/>
        <v>1.8549030790202696</v>
      </c>
    </row>
    <row r="56" spans="1:20" x14ac:dyDescent="0.35">
      <c r="A56" s="35">
        <v>10</v>
      </c>
      <c r="B56" s="32">
        <v>43651</v>
      </c>
      <c r="C56" s="36">
        <v>0.69444444444444453</v>
      </c>
      <c r="D56" s="37">
        <f>D55+2.5</f>
        <v>55.166666666666671</v>
      </c>
      <c r="E56" s="35">
        <v>6.7450000000000001</v>
      </c>
      <c r="F56" s="35">
        <v>18.206</v>
      </c>
      <c r="G56" s="35">
        <f t="shared" si="15"/>
        <v>11.460999999999999</v>
      </c>
      <c r="H56" s="35">
        <v>7.82</v>
      </c>
      <c r="I56" s="35">
        <v>5.1550000000000002</v>
      </c>
      <c r="J56" s="35">
        <v>6.6000000000000003E-2</v>
      </c>
      <c r="K56" s="31">
        <f t="shared" si="10"/>
        <v>1.0128031037827352</v>
      </c>
      <c r="L56" s="35">
        <v>1.04684</v>
      </c>
      <c r="M56" s="31">
        <f t="shared" si="16"/>
        <v>4.3070973050812589E-2</v>
      </c>
      <c r="N56" s="35">
        <v>4.8888999999999996</v>
      </c>
      <c r="O56" s="31">
        <f t="shared" si="11"/>
        <v>8.1373169107856191E-2</v>
      </c>
      <c r="P56" s="31">
        <f t="shared" si="9"/>
        <v>3.4005585844664146E-17</v>
      </c>
      <c r="Q56" s="31">
        <f t="shared" si="12"/>
        <v>-16.468449738773597</v>
      </c>
      <c r="R56" s="31">
        <f t="shared" si="17"/>
        <v>4.2830737138367192E-17</v>
      </c>
      <c r="S56" s="31">
        <f t="shared" si="13"/>
        <v>-16.368244451114279</v>
      </c>
      <c r="T56" s="31">
        <f t="shared" si="14"/>
        <v>1.8892809552237637</v>
      </c>
    </row>
    <row r="57" spans="1:20" x14ac:dyDescent="0.35">
      <c r="A57" s="35">
        <v>11</v>
      </c>
      <c r="B57" s="32">
        <v>43652</v>
      </c>
      <c r="C57" s="36">
        <v>0.3611111111111111</v>
      </c>
      <c r="D57" s="37">
        <f>D53+24-0.5</f>
        <v>71.166666666666671</v>
      </c>
      <c r="E57" s="35">
        <v>6.7009999999999996</v>
      </c>
      <c r="F57" s="35">
        <v>17.710999999999999</v>
      </c>
      <c r="G57" s="35">
        <f t="shared" si="15"/>
        <v>11.009999999999998</v>
      </c>
      <c r="H57" s="35">
        <v>7.81</v>
      </c>
      <c r="I57" s="35">
        <v>4.851</v>
      </c>
      <c r="J57" s="35">
        <v>8.1000000000000003E-2</v>
      </c>
      <c r="K57" s="31">
        <f t="shared" si="10"/>
        <v>1.0166975881261597</v>
      </c>
      <c r="L57" s="35">
        <v>0.98413700000000004</v>
      </c>
      <c r="M57" s="31">
        <f t="shared" si="16"/>
        <v>4.0491133511623124E-2</v>
      </c>
      <c r="N57" s="35">
        <v>4.6012000000000004</v>
      </c>
      <c r="O57" s="31">
        <f t="shared" si="11"/>
        <v>7.6584553928095878E-2</v>
      </c>
      <c r="P57" s="31">
        <f t="shared" si="9"/>
        <v>3.1968739479204314E-17</v>
      </c>
      <c r="Q57" s="31">
        <f t="shared" si="12"/>
        <v>-16.495274487532456</v>
      </c>
      <c r="R57" s="31">
        <f t="shared" si="17"/>
        <v>4.0310251328735535E-17</v>
      </c>
      <c r="S57" s="31">
        <f t="shared" si="13"/>
        <v>-16.394584494073623</v>
      </c>
      <c r="T57" s="31">
        <f t="shared" si="14"/>
        <v>1.8913907141204631</v>
      </c>
    </row>
    <row r="58" spans="1:20" x14ac:dyDescent="0.35">
      <c r="A58" s="31">
        <v>12</v>
      </c>
      <c r="B58" s="32">
        <v>43652</v>
      </c>
      <c r="C58" s="36">
        <v>0.44444444444444442</v>
      </c>
      <c r="D58" s="37">
        <f>D57+2</f>
        <v>73.166666666666671</v>
      </c>
      <c r="E58" s="35"/>
      <c r="F58" s="35">
        <v>17.545999999999999</v>
      </c>
      <c r="G58" s="35">
        <f t="shared" si="15"/>
        <v>17.545999999999999</v>
      </c>
      <c r="H58" s="35">
        <v>7.84</v>
      </c>
      <c r="I58" s="35">
        <v>5.3949999999999996</v>
      </c>
      <c r="J58" s="51">
        <v>7.5999999999999998E-2</v>
      </c>
      <c r="K58" s="31">
        <f t="shared" si="10"/>
        <v>1.0140871177015756</v>
      </c>
      <c r="L58" s="35">
        <v>0.966723</v>
      </c>
      <c r="M58" s="31">
        <f t="shared" si="16"/>
        <v>3.9774655420695332E-2</v>
      </c>
      <c r="N58" s="35">
        <v>4.5547000000000004</v>
      </c>
      <c r="O58" s="31">
        <f t="shared" si="11"/>
        <v>7.5810585885486031E-2</v>
      </c>
      <c r="P58" s="31">
        <f t="shared" si="9"/>
        <v>3.1403062516250103E-17</v>
      </c>
      <c r="Q58" s="31">
        <f t="shared" si="12"/>
        <v>-16.503027996224503</v>
      </c>
      <c r="R58" s="31">
        <f t="shared" si="17"/>
        <v>3.9902873538857631E-17</v>
      </c>
      <c r="S58" s="31">
        <f t="shared" si="13"/>
        <v>-16.398995828194622</v>
      </c>
      <c r="T58" s="31">
        <f t="shared" si="14"/>
        <v>1.9060023294643222</v>
      </c>
    </row>
    <row r="59" spans="1:20" x14ac:dyDescent="0.35">
      <c r="A59" s="35">
        <v>13</v>
      </c>
      <c r="B59" s="32">
        <v>43652</v>
      </c>
      <c r="C59" s="36">
        <v>0.52777777777777779</v>
      </c>
      <c r="D59" s="37">
        <f>D58+2</f>
        <v>75.166666666666671</v>
      </c>
      <c r="E59" s="35">
        <v>6.6669999999999998</v>
      </c>
      <c r="F59" s="35">
        <v>17.716000000000001</v>
      </c>
      <c r="G59" s="35">
        <f t="shared" si="15"/>
        <v>11.049000000000001</v>
      </c>
      <c r="H59" s="35">
        <v>7.85</v>
      </c>
      <c r="I59" s="54">
        <v>4.891</v>
      </c>
      <c r="J59" s="35">
        <v>7.0999999999999994E-2</v>
      </c>
      <c r="K59" s="69">
        <f t="shared" si="10"/>
        <v>1.0145164588018809</v>
      </c>
      <c r="L59" s="35">
        <v>0.95649899999999999</v>
      </c>
      <c r="M59" s="31">
        <f t="shared" si="16"/>
        <v>3.9354001234313929E-2</v>
      </c>
      <c r="N59" s="35">
        <v>4.5677000000000003</v>
      </c>
      <c r="O59" s="31">
        <f t="shared" si="11"/>
        <v>7.6026964047936088E-2</v>
      </c>
      <c r="P59" s="31">
        <f t="shared" si="9"/>
        <v>3.1070945755641185E-17</v>
      </c>
      <c r="Q59" s="31">
        <f t="shared" si="12"/>
        <v>-16.507645527234082</v>
      </c>
      <c r="R59" s="31">
        <f t="shared" si="17"/>
        <v>4.0016764103769725E-17</v>
      </c>
      <c r="S59" s="31">
        <f t="shared" si="13"/>
        <v>-16.397758032858611</v>
      </c>
      <c r="T59" s="31">
        <f t="shared" si="14"/>
        <v>1.9318738035116467</v>
      </c>
    </row>
    <row r="60" spans="1:20" x14ac:dyDescent="0.35">
      <c r="A60" s="35">
        <v>14</v>
      </c>
      <c r="B60" s="32">
        <v>43652</v>
      </c>
      <c r="C60" s="36">
        <v>0.61111111111111105</v>
      </c>
      <c r="D60" s="37">
        <f>D59+2</f>
        <v>77.166666666666671</v>
      </c>
      <c r="E60" s="35">
        <v>6.7539999999999996</v>
      </c>
      <c r="F60" s="35">
        <v>17.722000000000001</v>
      </c>
      <c r="G60" s="35">
        <f t="shared" si="15"/>
        <v>10.968000000000002</v>
      </c>
      <c r="H60" s="35">
        <v>7.79</v>
      </c>
      <c r="I60" s="54">
        <v>5.0369999999999999</v>
      </c>
      <c r="J60" s="35">
        <v>8.5000000000000006E-2</v>
      </c>
      <c r="K60" s="69">
        <f t="shared" si="10"/>
        <v>1.0168751240817948</v>
      </c>
      <c r="L60" s="35">
        <v>0.95009600000000005</v>
      </c>
      <c r="M60" s="31">
        <f t="shared" si="16"/>
        <v>3.9090557498457107E-2</v>
      </c>
      <c r="N60" s="35">
        <v>4.5914999999999999</v>
      </c>
      <c r="O60" s="31">
        <f t="shared" si="11"/>
        <v>7.6423102529960055E-2</v>
      </c>
      <c r="P60" s="31">
        <f t="shared" si="9"/>
        <v>3.0862950487822428E-17</v>
      </c>
      <c r="Q60" s="31">
        <f t="shared" si="12"/>
        <v>-16.510562557879854</v>
      </c>
      <c r="R60" s="31">
        <f t="shared" si="17"/>
        <v>4.0225271445685733E-17</v>
      </c>
      <c r="S60" s="31">
        <f t="shared" si="13"/>
        <v>-16.395501016539917</v>
      </c>
      <c r="T60" s="31">
        <f t="shared" si="14"/>
        <v>1.9550271835590078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P-1</vt:lpstr>
      <vt:lpstr>P-2</vt:lpstr>
      <vt:lpstr>P-3</vt:lpstr>
      <vt:lpstr>P-4</vt:lpstr>
      <vt:lpstr>P-5</vt:lpstr>
      <vt:lpstr>P-6</vt:lpstr>
      <vt:lpstr>P-L</vt:lpstr>
      <vt:lpstr>D-1</vt:lpstr>
      <vt:lpstr>D-2</vt:lpstr>
      <vt:lpstr>D-3</vt:lpstr>
      <vt:lpstr>D-4</vt:lpstr>
      <vt:lpstr>D-5</vt:lpstr>
      <vt:lpstr>D-6</vt:lpstr>
      <vt:lpstr>D-7</vt:lpstr>
      <vt:lpstr>Si-SFAorOES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Josephina Mulders</dc:creator>
  <cp:lastModifiedBy>Josephina Mulders</cp:lastModifiedBy>
  <dcterms:created xsi:type="dcterms:W3CDTF">2021-07-03T14:37:14Z</dcterms:created>
  <dcterms:modified xsi:type="dcterms:W3CDTF">2021-07-23T10:04:46Z</dcterms:modified>
</cp:coreProperties>
</file>