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tabRatio="498" activeTab="0"/>
  </bookViews>
  <sheets>
    <sheet name="NA6 Standard Curves" sheetId="1" r:id="rId1"/>
    <sheet name="Accuracy Test" sheetId="2" r:id="rId2"/>
    <sheet name="Assessment of Cell Lines" sheetId="3" r:id="rId3"/>
    <sheet name="Assessment of Clinical Sample" sheetId="4" r:id="rId4"/>
  </sheets>
  <definedNames>
    <definedName name="e2eff">'Assessment of Cell Lines'!$O$4</definedName>
    <definedName name="e2eff1">'Accuracy Test'!$N$11</definedName>
    <definedName name="e2nt">'Assessment of Cell Lines'!$P$4</definedName>
    <definedName name="e2nt1">'Accuracy Test'!$O$11</definedName>
    <definedName name="e6eff">'Assessment of Cell Lines'!$O$5</definedName>
    <definedName name="e6eff1">'Accuracy Test'!$N$12</definedName>
    <definedName name="e6nt">'Assessment of Cell Lines'!$P$5</definedName>
    <definedName name="e6nt1">'Accuracy Test'!$O$12</definedName>
    <definedName name="hmbseff">'Assessment of Cell Lines'!$O$6</definedName>
    <definedName name="hmbseff1">'Accuracy Test'!$N$13</definedName>
    <definedName name="hmbsnt">'Assessment of Cell Lines'!$P$6</definedName>
    <definedName name="hmbsnt1">'Accuracy Test'!$O$13</definedName>
    <definedName name="_xlnm.Print_Area" localSheetId="1">'Accuracy Test'!$B$31:$H$42</definedName>
    <definedName name="_xlnm.Print_Area" localSheetId="2">'Assessment of Cell Lines'!$B$37:$J$43</definedName>
    <definedName name="_xlnm.Print_Area" localSheetId="3">'Assessment of Clinical Sample'!$B$32:$H$52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<sst xmlns="http://schemas.openxmlformats.org/spreadsheetml/2006/main" count="403" uniqueCount="124">
  <si>
    <t>E2</t>
  </si>
  <si>
    <t>E6</t>
  </si>
  <si>
    <t>HMBS</t>
  </si>
  <si>
    <t>2ng 1</t>
  </si>
  <si>
    <t>2ng 2</t>
  </si>
  <si>
    <t>2ng 3</t>
  </si>
  <si>
    <t>200pg 1</t>
  </si>
  <si>
    <t>200pg 2</t>
  </si>
  <si>
    <t>200pg 3</t>
  </si>
  <si>
    <t>20pg 1</t>
  </si>
  <si>
    <t>20pg 2</t>
  </si>
  <si>
    <t>20pg 3</t>
  </si>
  <si>
    <t>2pg 1</t>
  </si>
  <si>
    <t>2pg 2</t>
  </si>
  <si>
    <t>2pg 3</t>
  </si>
  <si>
    <t>200fg 1</t>
  </si>
  <si>
    <t>200fg 2</t>
  </si>
  <si>
    <t>200fg 3</t>
  </si>
  <si>
    <t>20fg 1</t>
  </si>
  <si>
    <t>20fg 2</t>
  </si>
  <si>
    <t>20fg 3</t>
  </si>
  <si>
    <t>2fg 1</t>
  </si>
  <si>
    <t>2fg 2</t>
  </si>
  <si>
    <t>2fg 3</t>
  </si>
  <si>
    <t>#Molecules</t>
  </si>
  <si>
    <t>Log</t>
  </si>
  <si>
    <t>RSQ</t>
  </si>
  <si>
    <t>Efficiency</t>
  </si>
  <si>
    <t>NT</t>
  </si>
  <si>
    <t>Nt Value</t>
  </si>
  <si>
    <t>Ft Setting</t>
  </si>
  <si>
    <t>Optimised</t>
  </si>
  <si>
    <t>Amplicon</t>
  </si>
  <si>
    <t>A</t>
  </si>
  <si>
    <t>B</t>
  </si>
  <si>
    <t>C</t>
  </si>
  <si>
    <t>C33A</t>
  </si>
  <si>
    <t>CaSki</t>
  </si>
  <si>
    <t>SiHa</t>
  </si>
  <si>
    <t>#DipGen</t>
  </si>
  <si>
    <t>E2/E6</t>
  </si>
  <si>
    <t>NA6 10pg</t>
  </si>
  <si>
    <t>rep1</t>
  </si>
  <si>
    <t>rep2</t>
  </si>
  <si>
    <t>rep3</t>
  </si>
  <si>
    <t>CaSki, SiHa</t>
  </si>
  <si>
    <t>Optimised NA6 calibration curve values</t>
  </si>
  <si>
    <t>Ft value</t>
  </si>
  <si>
    <t>Nt value</t>
  </si>
  <si>
    <t>10 pg weights</t>
  </si>
  <si>
    <t>Ploidy</t>
  </si>
  <si>
    <t>Viral load</t>
  </si>
  <si>
    <t>diploid</t>
  </si>
  <si>
    <t>tetraploid</t>
  </si>
  <si>
    <t>triploid</t>
  </si>
  <si>
    <t>E2/dipgen</t>
  </si>
  <si>
    <t>E6/dipgen</t>
  </si>
  <si>
    <t>Run3 Cp Values</t>
  </si>
  <si>
    <t>Run 2 Cp Values</t>
  </si>
  <si>
    <t>Run 1 Cp Values</t>
  </si>
  <si>
    <t>Plate 1 Cp Values</t>
  </si>
  <si>
    <t>n10</t>
  </si>
  <si>
    <t>n55</t>
  </si>
  <si>
    <t>G1</t>
  </si>
  <si>
    <t>G3</t>
  </si>
  <si>
    <t>G9</t>
  </si>
  <si>
    <t>G11</t>
  </si>
  <si>
    <t>G19</t>
  </si>
  <si>
    <t>NA6 1pg</t>
  </si>
  <si>
    <t>Run 1 Cp values</t>
  </si>
  <si>
    <t>Run 2 Cp values</t>
  </si>
  <si>
    <t>Run 3 Cp values</t>
  </si>
  <si>
    <t>Run 4 Cp values</t>
  </si>
  <si>
    <t>n12</t>
  </si>
  <si>
    <t>G6</t>
  </si>
  <si>
    <t>G12</t>
  </si>
  <si>
    <t>G18</t>
  </si>
  <si>
    <t>G26</t>
  </si>
  <si>
    <t>G30</t>
  </si>
  <si>
    <t>G31</t>
  </si>
  <si>
    <t>Plate 2 Cp Values</t>
  </si>
  <si>
    <t>Plate 1 NA6 weighting</t>
  </si>
  <si>
    <t>Plate 2 NA6 weighting</t>
  </si>
  <si>
    <t>Plate 1 calculated copies of each amplicon</t>
  </si>
  <si>
    <t>Plate 2 calculated copies of each amplicon</t>
  </si>
  <si>
    <t>dipgen = diploid genome</t>
  </si>
  <si>
    <t>Set 1 Cp Values</t>
  </si>
  <si>
    <t>Set 2 Cp Values</t>
  </si>
  <si>
    <t>Set 3 Cp Values</t>
  </si>
  <si>
    <t>E2 % Change</t>
  </si>
  <si>
    <t>E6 % Change</t>
  </si>
  <si>
    <r>
      <t xml:space="preserve">Viral load assessment in 2 </t>
    </r>
    <r>
      <rPr>
        <b/>
        <sz val="14"/>
        <rFont val="Symbol"/>
        <family val="1"/>
      </rPr>
      <t>m</t>
    </r>
    <r>
      <rPr>
        <b/>
        <sz val="14"/>
        <rFont val="Arial"/>
        <family val="2"/>
      </rPr>
      <t>l of template</t>
    </r>
  </si>
  <si>
    <t>Absolute quantification of amplicons per A, B &amp; C</t>
  </si>
  <si>
    <t>Best performing template concentrations</t>
  </si>
  <si>
    <t>51ng Host 10pg pSP64 HPV16</t>
  </si>
  <si>
    <t>11ng Host 2.16pg pSP64 HPV16</t>
  </si>
  <si>
    <t>3ng Host 58.9fg pSP64 HPV16</t>
  </si>
  <si>
    <t>min</t>
  </si>
  <si>
    <t>max</t>
  </si>
  <si>
    <t>Run1</t>
  </si>
  <si>
    <t>Run2</t>
  </si>
  <si>
    <t>Run3</t>
  </si>
  <si>
    <t>Range of E2/E6 ratios</t>
  </si>
  <si>
    <t>Mean calculated copies of each amplicon</t>
  </si>
  <si>
    <t>HMBS %Change</t>
  </si>
  <si>
    <t>Mean Spectrophotometry assessment</t>
  </si>
  <si>
    <t>Dilution ratio A-B</t>
  </si>
  <si>
    <t>Dilution ratio B-C</t>
  </si>
  <si>
    <t>Average Cps</t>
  </si>
  <si>
    <t>Sample</t>
  </si>
  <si>
    <t>Category</t>
  </si>
  <si>
    <t>Low</t>
  </si>
  <si>
    <t>Medium</t>
  </si>
  <si>
    <t>High</t>
  </si>
  <si>
    <t>HMBS / hap</t>
  </si>
  <si>
    <r>
      <t xml:space="preserve">Exptected quantification in 2 </t>
    </r>
    <r>
      <rPr>
        <b/>
        <sz val="14"/>
        <rFont val="Symbol"/>
        <family val="1"/>
      </rPr>
      <t>m</t>
    </r>
    <r>
      <rPr>
        <b/>
        <sz val="14"/>
        <rFont val="Arial"/>
        <family val="2"/>
      </rPr>
      <t>l of template</t>
    </r>
  </si>
  <si>
    <t>NA6 Amount</t>
  </si>
  <si>
    <r>
      <t xml:space="preserve">Samples per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l</t>
    </r>
  </si>
  <si>
    <t>W12.Ser1p16</t>
  </si>
  <si>
    <t>W12.Ser1p57</t>
  </si>
  <si>
    <t>C33a, W12.Ser1p16, W12.Ser1p57</t>
  </si>
  <si>
    <t>W12.Ser1p57 Set3 E2 Cp values are unreliable, not used.</t>
  </si>
  <si>
    <t>Values plotted &amp; used in  calculations following omission of errant data points</t>
  </si>
  <si>
    <t>NA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</si>
</sst>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"/>
    <numFmt numFmtId="170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5.75"/>
      <name val="Arial"/>
      <family val="0"/>
    </font>
    <font>
      <sz val="5.75"/>
      <name val="Arial"/>
      <family val="0"/>
    </font>
    <font>
      <b/>
      <sz val="10.25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2"/>
      <name val="Arial"/>
      <family val="2"/>
    </font>
    <font>
      <sz val="9.75"/>
      <name val="Arial"/>
      <family val="0"/>
    </font>
    <font>
      <vertAlign val="superscript"/>
      <sz val="8"/>
      <name val="Arial"/>
      <family val="2"/>
    </font>
    <font>
      <b/>
      <sz val="14.9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Symbol"/>
      <family val="1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9" fontId="0" fillId="3" borderId="0" xfId="0" applyNumberFormat="1" applyFill="1" applyAlignment="1">
      <alignment/>
    </xf>
    <xf numFmtId="11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2" fontId="0" fillId="4" borderId="0" xfId="0" applyNumberFormat="1" applyFill="1" applyAlignment="1">
      <alignment/>
    </xf>
    <xf numFmtId="11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11" fontId="0" fillId="5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4" fillId="2" borderId="1" xfId="0" applyFont="1" applyFill="1" applyBorder="1" applyAlignment="1">
      <alignment/>
    </xf>
    <xf numFmtId="3" fontId="0" fillId="4" borderId="0" xfId="0" applyNumberFormat="1" applyFill="1" applyAlignment="1">
      <alignment/>
    </xf>
    <xf numFmtId="3" fontId="0" fillId="5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4" fillId="6" borderId="1" xfId="0" applyFont="1" applyFill="1" applyBorder="1" applyAlignment="1">
      <alignment horizontal="center"/>
    </xf>
    <xf numFmtId="3" fontId="4" fillId="6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2" fontId="0" fillId="4" borderId="0" xfId="0" applyNumberFormat="1" applyFont="1" applyFill="1" applyAlignment="1">
      <alignment/>
    </xf>
    <xf numFmtId="0" fontId="4" fillId="5" borderId="1" xfId="0" applyFont="1" applyFill="1" applyBorder="1" applyAlignment="1">
      <alignment/>
    </xf>
    <xf numFmtId="2" fontId="0" fillId="5" borderId="0" xfId="0" applyNumberFormat="1" applyFont="1" applyFill="1" applyAlignment="1">
      <alignment/>
    </xf>
    <xf numFmtId="0" fontId="4" fillId="3" borderId="1" xfId="0" applyFont="1" applyFill="1" applyBorder="1" applyAlignment="1">
      <alignment/>
    </xf>
    <xf numFmtId="2" fontId="0" fillId="3" borderId="0" xfId="0" applyNumberFormat="1" applyFont="1" applyFill="1" applyAlignment="1">
      <alignment/>
    </xf>
    <xf numFmtId="168" fontId="0" fillId="5" borderId="0" xfId="0" applyNumberFormat="1" applyFill="1" applyAlignment="1">
      <alignment/>
    </xf>
    <xf numFmtId="168" fontId="0" fillId="4" borderId="0" xfId="0" applyNumberForma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16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1" fontId="0" fillId="2" borderId="0" xfId="0" applyNumberFormat="1" applyFill="1" applyAlignment="1">
      <alignment/>
    </xf>
    <xf numFmtId="0" fontId="4" fillId="4" borderId="0" xfId="0" applyFont="1" applyFill="1" applyAlignment="1">
      <alignment/>
    </xf>
    <xf numFmtId="169" fontId="0" fillId="4" borderId="0" xfId="0" applyNumberFormat="1" applyFill="1" applyAlignment="1">
      <alignment/>
    </xf>
    <xf numFmtId="0" fontId="4" fillId="5" borderId="0" xfId="0" applyFont="1" applyFill="1" applyAlignment="1">
      <alignment/>
    </xf>
    <xf numFmtId="169" fontId="0" fillId="5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5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0" fillId="2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0" fillId="7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2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ill="1" applyAlignment="1">
      <alignment/>
    </xf>
    <xf numFmtId="11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17" fillId="7" borderId="0" xfId="0" applyNumberFormat="1" applyFont="1" applyFill="1" applyAlignment="1">
      <alignment/>
    </xf>
    <xf numFmtId="2" fontId="17" fillId="7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E2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35"/>
          <c:w val="0.76575"/>
          <c:h val="0.7495"/>
        </c:manualLayout>
      </c:layout>
      <c:scatterChart>
        <c:scatterStyle val="lineMarker"/>
        <c:varyColors val="0"/>
        <c:ser>
          <c:idx val="0"/>
          <c:order val="0"/>
          <c:tx>
            <c:v>E2 plate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'NA6 Standard Curves'!$E$79:$E$99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1"/>
          <c:order val="1"/>
          <c:tx>
            <c:v>E2 plate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'NA6 Standard Curves'!$I$79:$I$99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2"/>
          <c:order val="2"/>
          <c:tx>
            <c:v>E2 plate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'NA6 Standard Curves'!$M$79:$M$99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3"/>
          <c:order val="3"/>
          <c:tx>
            <c:v>E2 plate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'NA6 Standard Curves'!$Q$79:$Q$99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axId val="36822584"/>
        <c:axId val="62967801"/>
      </c:scatterChart>
      <c:valAx>
        <c:axId val="36822584"/>
        <c:scaling>
          <c:orientation val="minMax"/>
          <c:max val="3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crossBetween val="midCat"/>
        <c:dispUnits/>
      </c:valAx>
      <c:valAx>
        <c:axId val="62967801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10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"/>
          <c:y val="0.335"/>
          <c:w val="0.161"/>
          <c:h val="0.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E6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6025"/>
          <c:w val="0.761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v>E6 plate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'NA6 Standard Curves'!$F$79:$F$99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1"/>
          <c:order val="1"/>
          <c:tx>
            <c:v>E6 plate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'NA6 Standard Curves'!$J$79:$J$99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2"/>
          <c:order val="2"/>
          <c:tx>
            <c:v>E6 plate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'NA6 Standard Curves'!$N$79:$N$99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3"/>
          <c:order val="3"/>
          <c:tx>
            <c:v>E6 plate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'NA6 Standard Curves'!$R$79:$R$99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axId val="29839298"/>
        <c:axId val="118227"/>
      </c:scatterChart>
      <c:valAx>
        <c:axId val="29839298"/>
        <c:scaling>
          <c:orientation val="minMax"/>
          <c:max val="3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crossBetween val="midCat"/>
        <c:dispUnits/>
      </c:valAx>
      <c:valAx>
        <c:axId val="118227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10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341"/>
          <c:w val="0.169"/>
          <c:h val="0.2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HMBS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6425"/>
          <c:w val="0.76075"/>
          <c:h val="0.74825"/>
        </c:manualLayout>
      </c:layout>
      <c:scatterChart>
        <c:scatterStyle val="lineMarker"/>
        <c:varyColors val="0"/>
        <c:ser>
          <c:idx val="0"/>
          <c:order val="0"/>
          <c:tx>
            <c:v>HMBS plate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'NA6 Standard Curves'!$G$79:$G$99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1"/>
          <c:order val="1"/>
          <c:tx>
            <c:v>HMBS plate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'NA6 Standard Curves'!$K$79:$K$99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2"/>
          <c:order val="2"/>
          <c:tx>
            <c:v>HMBS plate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'NA6 Standard Curves'!$O$79:$O$99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ser>
          <c:idx val="3"/>
          <c:order val="3"/>
          <c:tx>
            <c:v>HMBS plate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'NA6 Standard Curves'!$S$79:$S$99</c:f>
              <c:numCache/>
            </c:numRef>
          </c:xVal>
          <c:yVal>
            <c:numRef>
              <c:f>'NA6 Standard Curves'!$D$4:$D$24</c:f>
              <c:numCache/>
            </c:numRef>
          </c:yVal>
          <c:smooth val="0"/>
        </c:ser>
        <c:axId val="1064044"/>
        <c:axId val="9576397"/>
      </c:scatterChart>
      <c:valAx>
        <c:axId val="1064044"/>
        <c:scaling>
          <c:orientation val="minMax"/>
          <c:max val="3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valAx>
        <c:axId val="9576397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10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41"/>
          <c:w val="0.1685"/>
          <c:h val="0.2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E2, E6 and HMBS External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825"/>
          <c:w val="0.92325"/>
          <c:h val="0.6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'NA6 Standard Curves'!$F$50</c:f>
              <c:strCache>
                <c:ptCount val="1"/>
                <c:pt idx="0">
                  <c:v>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E2: y = -0.2814x + 11.388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'NA6 Standard Curves'!$F$51:$F$71</c:f>
              <c:numCache/>
            </c:numRef>
          </c:xVal>
          <c:yVal>
            <c:numRef>
              <c:f>'NA6 Standard Curves'!$E$51:$E$71</c:f>
              <c:numCache/>
            </c:numRef>
          </c:yVal>
          <c:smooth val="0"/>
        </c:ser>
        <c:ser>
          <c:idx val="1"/>
          <c:order val="1"/>
          <c:tx>
            <c:strRef>
              <c:f>'NA6 Standard Curves'!$G$50</c:f>
              <c:strCache>
                <c:ptCount val="1"/>
                <c:pt idx="0">
                  <c:v>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E6: y = -0.2903x + 11.48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'NA6 Standard Curves'!$G$51:$G$71</c:f>
              <c:numCache/>
            </c:numRef>
          </c:xVal>
          <c:yVal>
            <c:numRef>
              <c:f>'NA6 Standard Curves'!$E$51:$E$71</c:f>
              <c:numCache/>
            </c:numRef>
          </c:yVal>
          <c:smooth val="0"/>
        </c:ser>
        <c:ser>
          <c:idx val="2"/>
          <c:order val="2"/>
          <c:tx>
            <c:strRef>
              <c:f>'NA6 Standard Curves'!$H$50</c:f>
              <c:strCache>
                <c:ptCount val="1"/>
                <c:pt idx="0">
                  <c:v>HMBS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FF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HMBS: y = -0.282x + 11.028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'NA6 Standard Curves'!$H$51:$H$71</c:f>
              <c:numCache/>
            </c:numRef>
          </c:xVal>
          <c:yVal>
            <c:numRef>
              <c:f>'NA6 Standard Curves'!$E$51:$E$71</c:f>
              <c:numCache/>
            </c:numRef>
          </c:yVal>
          <c:smooth val="0"/>
        </c:ser>
        <c:axId val="19078710"/>
        <c:axId val="37490663"/>
      </c:scatterChart>
      <c:valAx>
        <c:axId val="1907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crossBetween val="midCat"/>
        <c:dispUnits/>
      </c:valAx>
      <c:valAx>
        <c:axId val="3749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 Copy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"/>
          <c:y val="0.849"/>
          <c:w val="0.7625"/>
          <c:h val="0.1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HPV16 E2 and E6 copy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'Assessment of Clinical Sample'!$D$56</c:f>
              <c:strCache>
                <c:ptCount val="1"/>
                <c:pt idx="0">
                  <c:v>E6/dipgen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'Assessment of Clinical Sample'!$B$57:$C$70</c:f>
              <c:multiLvlStrCache/>
            </c:multiLvlStrRef>
          </c:cat>
          <c:val>
            <c:numRef>
              <c:f>'Assessment of Clinical Sample'!$D$57:$D$70</c:f>
              <c:numCache/>
            </c:numRef>
          </c:val>
        </c:ser>
        <c:ser>
          <c:idx val="1"/>
          <c:order val="1"/>
          <c:tx>
            <c:strRef>
              <c:f>'Assessment of Clinical Sample'!$E$56</c:f>
              <c:strCache>
                <c:ptCount val="1"/>
                <c:pt idx="0">
                  <c:v>E2/dipgen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'Assessment of Clinical Sample'!$E$57:$E$70</c:f>
              <c:numCache/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Cervical SCC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844833"/>
        <c:crosses val="autoZero"/>
        <c:auto val="1"/>
        <c:lblOffset val="100"/>
        <c:noMultiLvlLbl val="0"/>
      </c:catAx>
      <c:valAx>
        <c:axId val="168448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HPV16 gene copy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8</xdr:col>
      <xdr:colOff>133350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323975" y="4772025"/>
        <a:ext cx="3790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29</xdr:row>
      <xdr:rowOff>19050</xdr:rowOff>
    </xdr:from>
    <xdr:to>
      <xdr:col>14</xdr:col>
      <xdr:colOff>161925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5181600" y="4791075"/>
        <a:ext cx="36195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228600</xdr:colOff>
      <xdr:row>29</xdr:row>
      <xdr:rowOff>19050</xdr:rowOff>
    </xdr:from>
    <xdr:to>
      <xdr:col>20</xdr:col>
      <xdr:colOff>200025</xdr:colOff>
      <xdr:row>46</xdr:row>
      <xdr:rowOff>28575</xdr:rowOff>
    </xdr:to>
    <xdr:graphicFrame>
      <xdr:nvGraphicFramePr>
        <xdr:cNvPr id="3" name="Chart 3"/>
        <xdr:cNvGraphicFramePr/>
      </xdr:nvGraphicFramePr>
      <xdr:xfrm>
        <a:off x="8867775" y="4791075"/>
        <a:ext cx="36290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18</xdr:col>
      <xdr:colOff>476250</xdr:colOff>
      <xdr:row>71</xdr:row>
      <xdr:rowOff>0</xdr:rowOff>
    </xdr:to>
    <xdr:graphicFrame>
      <xdr:nvGraphicFramePr>
        <xdr:cNvPr id="4" name="Chart 6"/>
        <xdr:cNvGraphicFramePr/>
      </xdr:nvGraphicFramePr>
      <xdr:xfrm>
        <a:off x="5591175" y="7848600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21</xdr:col>
      <xdr:colOff>0</xdr:colOff>
      <xdr:row>6</xdr:row>
      <xdr:rowOff>76200</xdr:rowOff>
    </xdr:from>
    <xdr:ext cx="2381250" cy="1257300"/>
    <xdr:sp>
      <xdr:nvSpPr>
        <xdr:cNvPr id="5" name="TextBox 8"/>
        <xdr:cNvSpPr txBox="1">
          <a:spLocks noChangeArrowheads="1"/>
        </xdr:cNvSpPr>
      </xdr:nvSpPr>
      <xdr:spPr>
        <a:xfrm>
          <a:off x="12906375" y="1123950"/>
          <a:ext cx="23812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points in grey were not used in generating the Average Cps Table.
NA indicates a failed reaction.  The other four values were omitted as the adversely affected the linear regression lines, producing a reduction in R2 values.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55</xdr:row>
      <xdr:rowOff>142875</xdr:rowOff>
    </xdr:from>
    <xdr:to>
      <xdr:col>14</xdr:col>
      <xdr:colOff>323850</xdr:colOff>
      <xdr:row>79</xdr:row>
      <xdr:rowOff>76200</xdr:rowOff>
    </xdr:to>
    <xdr:graphicFrame>
      <xdr:nvGraphicFramePr>
        <xdr:cNvPr id="1" name="Chart 1"/>
        <xdr:cNvGraphicFramePr/>
      </xdr:nvGraphicFramePr>
      <xdr:xfrm>
        <a:off x="5076825" y="9382125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2.140625" style="0" customWidth="1"/>
    <col min="3" max="3" width="12.421875" style="0" bestFit="1" customWidth="1"/>
    <col min="4" max="4" width="5.28125" style="0" bestFit="1" customWidth="1"/>
    <col min="5" max="5" width="9.7109375" style="0" bestFit="1" customWidth="1"/>
    <col min="22" max="22" width="9.57421875" style="0" bestFit="1" customWidth="1"/>
    <col min="23" max="23" width="9.7109375" style="0" bestFit="1" customWidth="1"/>
    <col min="24" max="24" width="9.00390625" style="0" bestFit="1" customWidth="1"/>
    <col min="25" max="25" width="9.7109375" style="0" bestFit="1" customWidth="1"/>
  </cols>
  <sheetData>
    <row r="2" spans="2:25" ht="18">
      <c r="B2" s="11"/>
      <c r="C2" s="11"/>
      <c r="D2" s="11"/>
      <c r="F2" s="93" t="s">
        <v>69</v>
      </c>
      <c r="G2" s="93"/>
      <c r="H2" s="93"/>
      <c r="J2" s="93" t="s">
        <v>70</v>
      </c>
      <c r="K2" s="93"/>
      <c r="L2" s="93"/>
      <c r="N2" s="93" t="s">
        <v>71</v>
      </c>
      <c r="O2" s="93"/>
      <c r="P2" s="93"/>
      <c r="R2" s="93" t="s">
        <v>72</v>
      </c>
      <c r="S2" s="93"/>
      <c r="T2" s="93"/>
      <c r="V2" s="95" t="s">
        <v>31</v>
      </c>
      <c r="W2" s="96"/>
      <c r="X2" s="96"/>
      <c r="Y2" s="96"/>
    </row>
    <row r="3" spans="2:25" ht="13.5" thickBot="1">
      <c r="B3" s="6" t="s">
        <v>116</v>
      </c>
      <c r="C3" s="6" t="s">
        <v>24</v>
      </c>
      <c r="D3" s="6" t="s">
        <v>25</v>
      </c>
      <c r="F3" s="15" t="s">
        <v>0</v>
      </c>
      <c r="G3" s="17" t="s">
        <v>1</v>
      </c>
      <c r="H3" s="19" t="s">
        <v>2</v>
      </c>
      <c r="J3" s="15" t="s">
        <v>0</v>
      </c>
      <c r="K3" s="17" t="s">
        <v>1</v>
      </c>
      <c r="L3" s="19" t="s">
        <v>2</v>
      </c>
      <c r="N3" s="15" t="s">
        <v>0</v>
      </c>
      <c r="O3" s="17" t="s">
        <v>1</v>
      </c>
      <c r="P3" s="19" t="s">
        <v>2</v>
      </c>
      <c r="R3" s="15" t="s">
        <v>0</v>
      </c>
      <c r="S3" s="17" t="s">
        <v>1</v>
      </c>
      <c r="T3" s="19" t="s">
        <v>2</v>
      </c>
      <c r="V3" s="29" t="s">
        <v>32</v>
      </c>
      <c r="W3" s="6" t="s">
        <v>27</v>
      </c>
      <c r="X3" s="6" t="s">
        <v>29</v>
      </c>
      <c r="Y3" s="6" t="s">
        <v>30</v>
      </c>
    </row>
    <row r="4" spans="2:25" ht="12.75">
      <c r="B4" s="12" t="s">
        <v>3</v>
      </c>
      <c r="C4" s="52">
        <v>417600000</v>
      </c>
      <c r="D4" s="4">
        <v>8.620760489994206</v>
      </c>
      <c r="F4" s="23">
        <v>8.897196421771378</v>
      </c>
      <c r="G4" s="25">
        <v>9.190226259008499</v>
      </c>
      <c r="H4" s="27">
        <v>8.209430816468027</v>
      </c>
      <c r="J4" s="23">
        <v>9.774233338455929</v>
      </c>
      <c r="K4" s="25">
        <v>10.143456548010716</v>
      </c>
      <c r="L4" s="27">
        <v>9.275288981639893</v>
      </c>
      <c r="N4" s="23">
        <v>9.641216171697645</v>
      </c>
      <c r="O4" s="25">
        <v>10.438676930948636</v>
      </c>
      <c r="P4" s="90">
        <v>9.125106078287079</v>
      </c>
      <c r="R4" s="23">
        <v>10.179624915785107</v>
      </c>
      <c r="S4" s="25">
        <v>9.978716841550742</v>
      </c>
      <c r="T4" s="27">
        <v>8.759130146513233</v>
      </c>
      <c r="V4" s="48" t="s">
        <v>0</v>
      </c>
      <c r="W4" s="49">
        <v>0.908379705</v>
      </c>
      <c r="X4" s="24">
        <v>274293000000</v>
      </c>
      <c r="Y4" s="16">
        <v>0.010973</v>
      </c>
    </row>
    <row r="5" spans="2:25" ht="12.75">
      <c r="B5" s="12" t="s">
        <v>4</v>
      </c>
      <c r="C5" s="52">
        <v>417600000</v>
      </c>
      <c r="D5" s="4">
        <v>8.620760489994206</v>
      </c>
      <c r="F5" s="91" t="s">
        <v>123</v>
      </c>
      <c r="G5" s="25">
        <v>9.250191822139282</v>
      </c>
      <c r="H5" s="27">
        <v>8.062756193566319</v>
      </c>
      <c r="J5" s="23">
        <v>9.656286614001</v>
      </c>
      <c r="K5" s="25">
        <v>10.059918752012084</v>
      </c>
      <c r="L5" s="27">
        <v>9.00632831614979</v>
      </c>
      <c r="N5" s="23">
        <v>9.92652149137138</v>
      </c>
      <c r="O5" s="25">
        <v>10.255866726400187</v>
      </c>
      <c r="P5" s="27">
        <v>9.142979284238919</v>
      </c>
      <c r="R5" s="23">
        <v>10.442844822484531</v>
      </c>
      <c r="S5" s="25">
        <v>9.905896654456056</v>
      </c>
      <c r="T5" s="27">
        <v>8.767751404702619</v>
      </c>
      <c r="V5" s="50" t="s">
        <v>1</v>
      </c>
      <c r="W5" s="51">
        <v>0.9501094478349859</v>
      </c>
      <c r="X5" s="26">
        <v>338060205405.027</v>
      </c>
      <c r="Y5" s="18">
        <v>0.011023</v>
      </c>
    </row>
    <row r="6" spans="2:25" ht="12.75">
      <c r="B6" s="12" t="s">
        <v>5</v>
      </c>
      <c r="C6" s="52">
        <v>417600000</v>
      </c>
      <c r="D6" s="4">
        <v>8.620760489994206</v>
      </c>
      <c r="F6" s="23">
        <v>9.371833961524684</v>
      </c>
      <c r="G6" s="25">
        <v>9.36574300067126</v>
      </c>
      <c r="H6" s="27">
        <v>7.93450894357071</v>
      </c>
      <c r="J6" s="23">
        <v>10.511920402642994</v>
      </c>
      <c r="K6" s="25">
        <v>10.333788679551105</v>
      </c>
      <c r="L6" s="27">
        <v>8.916813932653325</v>
      </c>
      <c r="N6" s="23">
        <v>9.787099086957761</v>
      </c>
      <c r="O6" s="25">
        <v>10.428831094208384</v>
      </c>
      <c r="P6" s="27">
        <v>9.145020879021098</v>
      </c>
      <c r="R6" s="23">
        <v>10.497015042660598</v>
      </c>
      <c r="S6" s="25">
        <v>10.031046406855067</v>
      </c>
      <c r="T6" s="27">
        <v>8.629037350032235</v>
      </c>
      <c r="V6" s="9" t="s">
        <v>2</v>
      </c>
      <c r="W6" s="7">
        <v>0.9104558937418901</v>
      </c>
      <c r="X6" s="8">
        <v>228114836089.66876</v>
      </c>
      <c r="Y6" s="20">
        <v>0.00871</v>
      </c>
    </row>
    <row r="7" spans="2:20" ht="12.75">
      <c r="B7" s="12" t="s">
        <v>6</v>
      </c>
      <c r="C7" s="52">
        <v>41760000</v>
      </c>
      <c r="D7" s="4">
        <v>7.620760489994206</v>
      </c>
      <c r="F7" s="23">
        <v>13.268892487798892</v>
      </c>
      <c r="G7" s="25">
        <v>13.017990054848294</v>
      </c>
      <c r="H7" s="27">
        <v>11.813748186447775</v>
      </c>
      <c r="J7" s="23">
        <v>12.52446215272002</v>
      </c>
      <c r="K7" s="25">
        <v>13.575216304690784</v>
      </c>
      <c r="L7" s="27">
        <v>12.442874277192658</v>
      </c>
      <c r="N7" s="23">
        <v>12.390579850993165</v>
      </c>
      <c r="O7" s="25">
        <v>13.125328646654967</v>
      </c>
      <c r="P7" s="27">
        <v>11.92648501010407</v>
      </c>
      <c r="R7" s="23">
        <v>12.570522494095353</v>
      </c>
      <c r="S7" s="25">
        <v>12.49250043964796</v>
      </c>
      <c r="T7" s="27">
        <v>11.575708205158355</v>
      </c>
    </row>
    <row r="8" spans="2:22" ht="12.75">
      <c r="B8" s="12" t="s">
        <v>7</v>
      </c>
      <c r="C8" s="52">
        <v>41760000</v>
      </c>
      <c r="D8" s="4">
        <v>7.620760489994206</v>
      </c>
      <c r="F8" s="23">
        <v>13.563191345334202</v>
      </c>
      <c r="G8" s="25">
        <v>12.942649789729225</v>
      </c>
      <c r="H8" s="27">
        <v>12.01926371693666</v>
      </c>
      <c r="J8" s="23">
        <v>13.463024567087535</v>
      </c>
      <c r="K8" s="25">
        <v>13.374539657835582</v>
      </c>
      <c r="L8" s="27">
        <v>12.425481304354477</v>
      </c>
      <c r="N8" s="23">
        <v>12.876031502951516</v>
      </c>
      <c r="O8" s="25">
        <v>12.875218430043551</v>
      </c>
      <c r="P8" s="27">
        <v>12.087629380958552</v>
      </c>
      <c r="R8" s="23">
        <v>13.090663193133139</v>
      </c>
      <c r="S8" s="25">
        <v>12.38703269421922</v>
      </c>
      <c r="T8" s="27">
        <v>11.301056355477742</v>
      </c>
      <c r="V8" s="76"/>
    </row>
    <row r="9" spans="2:23" ht="12.75">
      <c r="B9" s="12" t="s">
        <v>8</v>
      </c>
      <c r="C9" s="52">
        <v>41760000</v>
      </c>
      <c r="D9" s="4">
        <v>7.620760489994206</v>
      </c>
      <c r="F9" s="23">
        <v>13.784226316632992</v>
      </c>
      <c r="G9" s="25">
        <v>13.060846468603541</v>
      </c>
      <c r="H9" s="27">
        <v>11.639932820975512</v>
      </c>
      <c r="J9" s="23">
        <v>13.678941435293147</v>
      </c>
      <c r="K9" s="25">
        <v>13.425277922883877</v>
      </c>
      <c r="L9" s="27">
        <v>12.112190134720803</v>
      </c>
      <c r="N9" s="23">
        <v>12.642866777485546</v>
      </c>
      <c r="O9" s="25">
        <v>12.794988802963132</v>
      </c>
      <c r="P9" s="27">
        <v>11.8615367483526</v>
      </c>
      <c r="R9" s="23">
        <v>13.829022472893959</v>
      </c>
      <c r="S9" s="25">
        <v>12.514689246824819</v>
      </c>
      <c r="T9" s="27">
        <v>11.08697037655838</v>
      </c>
      <c r="W9" s="92"/>
    </row>
    <row r="10" spans="2:20" ht="12.75">
      <c r="B10" s="12" t="s">
        <v>9</v>
      </c>
      <c r="C10" s="52">
        <v>4176000</v>
      </c>
      <c r="D10" s="4">
        <v>6.620760489994206</v>
      </c>
      <c r="F10" s="23">
        <v>16.74049519433598</v>
      </c>
      <c r="G10" s="25">
        <v>16.250232061198485</v>
      </c>
      <c r="H10" s="27">
        <v>15.470319654823552</v>
      </c>
      <c r="J10" s="23">
        <v>16.85415244664078</v>
      </c>
      <c r="K10" s="25">
        <v>17.111452372796887</v>
      </c>
      <c r="L10" s="27">
        <v>16.06581511262158</v>
      </c>
      <c r="N10" s="23">
        <v>16.340304602885364</v>
      </c>
      <c r="O10" s="25">
        <v>16.80406002904722</v>
      </c>
      <c r="P10" s="90">
        <v>16.153649940218315</v>
      </c>
      <c r="R10" s="23">
        <v>16.98391772553155</v>
      </c>
      <c r="S10" s="25">
        <v>16.858572498857985</v>
      </c>
      <c r="T10" s="27">
        <v>16.179498890244382</v>
      </c>
    </row>
    <row r="11" spans="2:20" ht="12.75">
      <c r="B11" s="12" t="s">
        <v>10</v>
      </c>
      <c r="C11" s="52">
        <v>4176000</v>
      </c>
      <c r="D11" s="4">
        <v>6.620760489994206</v>
      </c>
      <c r="F11" s="23">
        <v>16.713971352654696</v>
      </c>
      <c r="G11" s="25">
        <v>16.412673727160335</v>
      </c>
      <c r="H11" s="27">
        <v>15.079611088148653</v>
      </c>
      <c r="J11" s="23">
        <v>17.005062680833465</v>
      </c>
      <c r="K11" s="25">
        <v>17.03908546390117</v>
      </c>
      <c r="L11" s="27">
        <v>16.018847790723182</v>
      </c>
      <c r="N11" s="23">
        <v>17.063486408879108</v>
      </c>
      <c r="O11" s="25">
        <v>16.94306177185475</v>
      </c>
      <c r="P11" s="27">
        <v>15.818173295381598</v>
      </c>
      <c r="R11" s="23">
        <v>17.074424742546842</v>
      </c>
      <c r="S11" s="25">
        <v>16.95264499600116</v>
      </c>
      <c r="T11" s="27">
        <v>15.59767510718436</v>
      </c>
    </row>
    <row r="12" spans="2:20" ht="12.75">
      <c r="B12" s="12" t="s">
        <v>11</v>
      </c>
      <c r="C12" s="52">
        <v>4176000</v>
      </c>
      <c r="D12" s="4">
        <v>6.620760489994206</v>
      </c>
      <c r="F12" s="23">
        <v>17.10800026129559</v>
      </c>
      <c r="G12" s="25">
        <v>16.4318628706312</v>
      </c>
      <c r="H12" s="27">
        <v>15.059877851996397</v>
      </c>
      <c r="J12" s="23">
        <v>17.33222367937569</v>
      </c>
      <c r="K12" s="25">
        <v>17.071988201606064</v>
      </c>
      <c r="L12" s="27">
        <v>15.717663800531593</v>
      </c>
      <c r="N12" s="23">
        <v>17.26632806824002</v>
      </c>
      <c r="O12" s="25">
        <v>16.937755261692978</v>
      </c>
      <c r="P12" s="27">
        <v>15.796315495083398</v>
      </c>
      <c r="R12" s="23">
        <v>17.34731644007241</v>
      </c>
      <c r="S12" s="25">
        <v>17.27300929016952</v>
      </c>
      <c r="T12" s="27">
        <v>15.387526943365774</v>
      </c>
    </row>
    <row r="13" spans="2:20" ht="12.75">
      <c r="B13" s="12" t="s">
        <v>12</v>
      </c>
      <c r="C13" s="52">
        <v>417600</v>
      </c>
      <c r="D13" s="4">
        <v>5.620760489994206</v>
      </c>
      <c r="F13" s="23">
        <v>20.624093118794935</v>
      </c>
      <c r="G13" s="25">
        <v>20.26799024045355</v>
      </c>
      <c r="H13" s="27">
        <v>18.511213184546495</v>
      </c>
      <c r="J13" s="23">
        <v>20.39581011942973</v>
      </c>
      <c r="K13" s="25">
        <v>20.257098911452452</v>
      </c>
      <c r="L13" s="27">
        <v>19.261032386766534</v>
      </c>
      <c r="N13" s="23">
        <v>20.71632805081736</v>
      </c>
      <c r="O13" s="25">
        <v>20.309353337302728</v>
      </c>
      <c r="P13" s="27">
        <v>19.237684893780973</v>
      </c>
      <c r="R13" s="23">
        <v>20.680245367040424</v>
      </c>
      <c r="S13" s="25">
        <v>20.42472910729305</v>
      </c>
      <c r="T13" s="27">
        <v>19.078917227147553</v>
      </c>
    </row>
    <row r="14" spans="2:20" ht="12.75">
      <c r="B14" s="12" t="s">
        <v>13</v>
      </c>
      <c r="C14" s="52">
        <v>417600</v>
      </c>
      <c r="D14" s="4">
        <v>5.620760489994206</v>
      </c>
      <c r="F14" s="23">
        <v>20.857802176215593</v>
      </c>
      <c r="G14" s="25">
        <v>20.280092376435594</v>
      </c>
      <c r="H14" s="27">
        <v>19.124555021453205</v>
      </c>
      <c r="J14" s="23">
        <v>19.566612559339248</v>
      </c>
      <c r="K14" s="25">
        <v>20.308150776998858</v>
      </c>
      <c r="L14" s="27">
        <v>19.41064045978257</v>
      </c>
      <c r="N14" s="23">
        <v>20.845184074720425</v>
      </c>
      <c r="O14" s="25">
        <v>20.23847443466524</v>
      </c>
      <c r="P14" s="27">
        <v>19.3607286538205</v>
      </c>
      <c r="R14" s="23">
        <v>20.8818552825875</v>
      </c>
      <c r="S14" s="25">
        <v>20.14494140973561</v>
      </c>
      <c r="T14" s="27">
        <v>19.121354650253274</v>
      </c>
    </row>
    <row r="15" spans="2:20" ht="12.75">
      <c r="B15" s="12" t="s">
        <v>14</v>
      </c>
      <c r="C15" s="52">
        <v>417600</v>
      </c>
      <c r="D15" s="4">
        <v>5.620760489994206</v>
      </c>
      <c r="F15" s="23">
        <v>20.70037494040442</v>
      </c>
      <c r="G15" s="25">
        <v>20.14293610394817</v>
      </c>
      <c r="H15" s="27">
        <v>18.916096263125972</v>
      </c>
      <c r="J15" s="23">
        <v>20.661625884978434</v>
      </c>
      <c r="K15" s="25">
        <v>20.282789746680887</v>
      </c>
      <c r="L15" s="90">
        <v>19.054772304043773</v>
      </c>
      <c r="N15" s="23">
        <v>20.466602611590698</v>
      </c>
      <c r="O15" s="25">
        <v>20.132564115464426</v>
      </c>
      <c r="P15" s="27">
        <v>19.35928290951259</v>
      </c>
      <c r="R15" s="23">
        <v>20.641319847031777</v>
      </c>
      <c r="S15" s="25">
        <v>20.302052740036437</v>
      </c>
      <c r="T15" s="27">
        <v>18.82486533942351</v>
      </c>
    </row>
    <row r="16" spans="2:20" ht="12.75">
      <c r="B16" s="12" t="s">
        <v>15</v>
      </c>
      <c r="C16" s="52">
        <v>41760</v>
      </c>
      <c r="D16" s="4">
        <v>4.620760489994206</v>
      </c>
      <c r="F16" s="23">
        <v>24.75566018789191</v>
      </c>
      <c r="G16" s="25">
        <v>24.24238489577339</v>
      </c>
      <c r="H16" s="27">
        <v>22.055433492189465</v>
      </c>
      <c r="J16" s="23">
        <v>24.164484051145013</v>
      </c>
      <c r="K16" s="25">
        <v>23.871370295632687</v>
      </c>
      <c r="L16" s="27">
        <v>22.76602660415455</v>
      </c>
      <c r="N16" s="23">
        <v>24.00693252427358</v>
      </c>
      <c r="O16" s="25">
        <v>24.09327151814114</v>
      </c>
      <c r="P16" s="27">
        <v>22.98420388373325</v>
      </c>
      <c r="R16" s="23">
        <v>23.82954749737736</v>
      </c>
      <c r="S16" s="25">
        <v>23.828677823030084</v>
      </c>
      <c r="T16" s="27">
        <v>22.7619698595739</v>
      </c>
    </row>
    <row r="17" spans="2:20" ht="12.75">
      <c r="B17" s="12" t="s">
        <v>16</v>
      </c>
      <c r="C17" s="52">
        <v>41760</v>
      </c>
      <c r="D17" s="4">
        <v>4.620760489994206</v>
      </c>
      <c r="F17" s="23">
        <v>24.45816288650826</v>
      </c>
      <c r="G17" s="90">
        <v>24</v>
      </c>
      <c r="H17" s="27">
        <v>22.58948298398066</v>
      </c>
      <c r="J17" s="23">
        <v>24.024118620923886</v>
      </c>
      <c r="K17" s="25">
        <v>23.585851520998297</v>
      </c>
      <c r="L17" s="27">
        <v>22.80260773993308</v>
      </c>
      <c r="N17" s="23">
        <v>23.778082623657397</v>
      </c>
      <c r="O17" s="25">
        <v>23.92101214632661</v>
      </c>
      <c r="P17" s="27">
        <v>22.96615850505745</v>
      </c>
      <c r="R17" s="23">
        <v>24.249839156038256</v>
      </c>
      <c r="S17" s="25">
        <v>23.53132273068382</v>
      </c>
      <c r="T17" s="27">
        <v>22.60673032953091</v>
      </c>
    </row>
    <row r="18" spans="2:20" ht="12.75">
      <c r="B18" s="12" t="s">
        <v>17</v>
      </c>
      <c r="C18" s="52">
        <v>41760</v>
      </c>
      <c r="D18" s="4">
        <v>4.620760489994206</v>
      </c>
      <c r="F18" s="23">
        <v>24.613807753456584</v>
      </c>
      <c r="G18" s="25">
        <v>24.122106257766426</v>
      </c>
      <c r="H18" s="27">
        <v>22.67977682703683</v>
      </c>
      <c r="J18" s="23">
        <v>24.593549986889357</v>
      </c>
      <c r="K18" s="25">
        <v>24.005375856765294</v>
      </c>
      <c r="L18" s="27">
        <v>22.750481337711694</v>
      </c>
      <c r="N18" s="23">
        <v>24.080405427059763</v>
      </c>
      <c r="O18" s="25">
        <v>23.957345913267922</v>
      </c>
      <c r="P18" s="27">
        <v>22.99243811039183</v>
      </c>
      <c r="R18" s="23">
        <v>24.545845808225188</v>
      </c>
      <c r="S18" s="25">
        <v>23.67886133313906</v>
      </c>
      <c r="T18" s="27">
        <v>22.43938668981264</v>
      </c>
    </row>
    <row r="19" spans="2:20" ht="12.75">
      <c r="B19" s="12" t="s">
        <v>18</v>
      </c>
      <c r="C19" s="52">
        <v>4176</v>
      </c>
      <c r="D19" s="4">
        <v>3.620760489994206</v>
      </c>
      <c r="F19" s="23">
        <v>28.421136497279036</v>
      </c>
      <c r="G19" s="25">
        <v>27.454408094422615</v>
      </c>
      <c r="H19" s="27">
        <v>26.28930763672512</v>
      </c>
      <c r="J19" s="23">
        <v>27.69166890991363</v>
      </c>
      <c r="K19" s="25">
        <v>27.233522082847415</v>
      </c>
      <c r="L19" s="27">
        <v>26.77616999499962</v>
      </c>
      <c r="N19" s="23">
        <v>27.541594163540605</v>
      </c>
      <c r="O19" s="25">
        <v>27.036375293373798</v>
      </c>
      <c r="P19" s="27">
        <v>26.639958345589683</v>
      </c>
      <c r="R19" s="23">
        <v>27.349034897126458</v>
      </c>
      <c r="S19" s="25">
        <v>27.226389772984536</v>
      </c>
      <c r="T19" s="27">
        <v>26.598361008272995</v>
      </c>
    </row>
    <row r="20" spans="2:20" ht="12.75">
      <c r="B20" s="12" t="s">
        <v>19</v>
      </c>
      <c r="C20" s="52">
        <v>4176</v>
      </c>
      <c r="D20" s="4">
        <v>3.620760489994206</v>
      </c>
      <c r="F20" s="23">
        <v>28.049131091679556</v>
      </c>
      <c r="G20" s="25">
        <v>27.470161083641642</v>
      </c>
      <c r="H20" s="27">
        <v>26.227577799907753</v>
      </c>
      <c r="J20" s="23">
        <v>27.842891577919854</v>
      </c>
      <c r="K20" s="25">
        <v>27.123314266033784</v>
      </c>
      <c r="L20" s="27">
        <v>26.547352234687665</v>
      </c>
      <c r="N20" s="23">
        <v>27.769424992741115</v>
      </c>
      <c r="O20" s="25">
        <v>26.99341535318976</v>
      </c>
      <c r="P20" s="27">
        <v>26.655920537289717</v>
      </c>
      <c r="R20" s="23">
        <v>27.946643739573503</v>
      </c>
      <c r="S20" s="25">
        <v>27.062286808252072</v>
      </c>
      <c r="T20" s="27">
        <v>26.108628556126146</v>
      </c>
    </row>
    <row r="21" spans="2:20" ht="12.75">
      <c r="B21" s="12" t="s">
        <v>20</v>
      </c>
      <c r="C21" s="52">
        <v>4176</v>
      </c>
      <c r="D21" s="4">
        <v>3.620760489994206</v>
      </c>
      <c r="F21" s="23">
        <v>28.221759820339575</v>
      </c>
      <c r="G21" s="25">
        <v>27.519628718037428</v>
      </c>
      <c r="H21" s="27">
        <v>26.182680610150392</v>
      </c>
      <c r="J21" s="23">
        <v>28.215134139449646</v>
      </c>
      <c r="K21" s="25">
        <v>26.80040624376048</v>
      </c>
      <c r="L21" s="27">
        <v>26.557130840168842</v>
      </c>
      <c r="N21" s="23">
        <v>27.685292988314593</v>
      </c>
      <c r="O21" s="25">
        <v>27.001387365463927</v>
      </c>
      <c r="P21" s="27">
        <v>26.82119969832888</v>
      </c>
      <c r="R21" s="23">
        <v>27.74453659713857</v>
      </c>
      <c r="S21" s="25">
        <v>27.101444377789022</v>
      </c>
      <c r="T21" s="27">
        <v>25.203600114786344</v>
      </c>
    </row>
    <row r="22" spans="2:20" ht="12.75">
      <c r="B22" s="12" t="s">
        <v>21</v>
      </c>
      <c r="C22" s="52">
        <v>417.6</v>
      </c>
      <c r="D22" s="4">
        <v>2.620760489994206</v>
      </c>
      <c r="F22" s="23">
        <v>31.873133775811414</v>
      </c>
      <c r="G22" s="25">
        <v>30.341387839939074</v>
      </c>
      <c r="H22" s="27">
        <v>28.049947583676452</v>
      </c>
      <c r="J22" s="23">
        <v>29.72562477631357</v>
      </c>
      <c r="K22" s="25">
        <v>30.28655963764674</v>
      </c>
      <c r="L22" s="27">
        <v>29.920287082244617</v>
      </c>
      <c r="N22" s="23">
        <v>30.768455657238608</v>
      </c>
      <c r="O22" s="25">
        <v>30.581773354617674</v>
      </c>
      <c r="P22" s="27">
        <v>30.31119454712374</v>
      </c>
      <c r="R22" s="23">
        <v>31.01965406498266</v>
      </c>
      <c r="S22" s="25">
        <v>30.59690771674168</v>
      </c>
      <c r="T22" s="27">
        <v>30.664115622370534</v>
      </c>
    </row>
    <row r="23" spans="2:20" ht="12.75">
      <c r="B23" s="12" t="s">
        <v>22</v>
      </c>
      <c r="C23" s="52">
        <v>417.6</v>
      </c>
      <c r="D23" s="4">
        <v>2.620760489994206</v>
      </c>
      <c r="F23" s="23">
        <v>28.314593887275485</v>
      </c>
      <c r="G23" s="25">
        <v>31.461621043006627</v>
      </c>
      <c r="H23" s="27">
        <v>30.01455364603194</v>
      </c>
      <c r="J23" s="23">
        <v>30.21807855404343</v>
      </c>
      <c r="K23" s="25">
        <v>29.885074832734766</v>
      </c>
      <c r="L23" s="27">
        <v>29.11055539036533</v>
      </c>
      <c r="N23" s="23">
        <v>30.821806497422948</v>
      </c>
      <c r="O23" s="25">
        <v>30.150971456011387</v>
      </c>
      <c r="P23" s="27">
        <v>29.91895787934303</v>
      </c>
      <c r="R23" s="23">
        <v>30.510226952862443</v>
      </c>
      <c r="S23" s="25">
        <v>30.148299634547303</v>
      </c>
      <c r="T23" s="27">
        <v>30.199999647410383</v>
      </c>
    </row>
    <row r="24" spans="2:20" ht="12.75">
      <c r="B24" s="12" t="s">
        <v>23</v>
      </c>
      <c r="C24" s="52">
        <v>417.6</v>
      </c>
      <c r="D24" s="4">
        <v>2.620760489994206</v>
      </c>
      <c r="F24" s="23">
        <v>31.45234031062986</v>
      </c>
      <c r="G24" s="25">
        <v>31.487540262813496</v>
      </c>
      <c r="H24" s="27">
        <v>30.973682320337268</v>
      </c>
      <c r="J24" s="23">
        <v>30.857680767790935</v>
      </c>
      <c r="K24" s="25">
        <v>27.385738661049224</v>
      </c>
      <c r="L24" s="27">
        <v>29.252245322922995</v>
      </c>
      <c r="N24" s="23">
        <v>31.61934031546945</v>
      </c>
      <c r="O24" s="25">
        <v>30.374554573231364</v>
      </c>
      <c r="P24" s="27">
        <v>30.211950556099197</v>
      </c>
      <c r="R24" s="23">
        <v>31.49883653813497</v>
      </c>
      <c r="S24" s="25">
        <v>30.341890074096213</v>
      </c>
      <c r="T24" s="27">
        <v>28.563598459344867</v>
      </c>
    </row>
    <row r="26" spans="5:20" ht="12.75">
      <c r="E26" s="12" t="s">
        <v>26</v>
      </c>
      <c r="F26" s="45">
        <f>RSQ($D$4:$D$24,E79:E99)</f>
        <v>0.9874231021815383</v>
      </c>
      <c r="G26" s="45">
        <f>RSQ($D$4:$D$24,F79:F99)</f>
        <v>0.998837389365833</v>
      </c>
      <c r="H26" s="45">
        <f>RSQ($D$4:$D$24,G79:G99)</f>
        <v>0.9952213583644481</v>
      </c>
      <c r="I26" s="1"/>
      <c r="J26" s="45">
        <f>RSQ($D$4:$D$24,I79:I99)</f>
        <v>0.9945453542169581</v>
      </c>
      <c r="K26" s="45">
        <f>RSQ($D$4:$D$24,J79:J99)</f>
        <v>0.9908924670751628</v>
      </c>
      <c r="L26" s="45">
        <f>RSQ($D$4:$D$24,K79:K99)</f>
        <v>0.9986573317599285</v>
      </c>
      <c r="M26" s="1"/>
      <c r="N26" s="45">
        <f>RSQ($D$4:$D$24,M79:M99)</f>
        <v>0.9976209947905337</v>
      </c>
      <c r="O26" s="45">
        <f>RSQ($D$4:$D$24,N79:N99)</f>
        <v>0.9982340156659368</v>
      </c>
      <c r="P26" s="45">
        <f>RSQ($D$4:$D$24,O79:O99)</f>
        <v>0.9990128870726838</v>
      </c>
      <c r="Q26" s="1"/>
      <c r="R26" s="45">
        <f>RSQ($D$4:$D$24,Q79:Q99)</f>
        <v>0.9972647828338062</v>
      </c>
      <c r="S26" s="45">
        <f>RSQ($D$4:$D$24,R79:R99)</f>
        <v>0.9973494703725483</v>
      </c>
      <c r="T26" s="45">
        <f>RSQ($D$4:$D$24,S79:S99)</f>
        <v>0.9945867829921347</v>
      </c>
    </row>
    <row r="27" spans="5:20" ht="12.75">
      <c r="E27" s="12" t="s">
        <v>27</v>
      </c>
      <c r="F27" s="46">
        <f>10^(-1*SLOPE($D$4:$D$24,E79:E99))-1</f>
        <v>0.8810728737428237</v>
      </c>
      <c r="G27" s="46">
        <f>10^(-1*SLOPE($D$4:$D$24,F79:F99))-1</f>
        <v>0.8784601593913384</v>
      </c>
      <c r="H27" s="46">
        <f>10^(-1*SLOPE($D$4:$D$24,G79:G99))-1</f>
        <v>0.8889067950015734</v>
      </c>
      <c r="I27" s="3"/>
      <c r="J27" s="46">
        <f>10^(-1*SLOPE($D$4:$D$24,I79:I99))-1</f>
        <v>0.9309682461050026</v>
      </c>
      <c r="K27" s="46">
        <f>10^(-1*SLOPE($D$4:$D$24,J79:J99))-1</f>
        <v>1.0185555427461437</v>
      </c>
      <c r="L27" s="46">
        <f>10^(-1*SLOPE($D$4:$D$24,K79:K99))-1</f>
        <v>0.9484749948181195</v>
      </c>
      <c r="M27" s="3"/>
      <c r="N27" s="46">
        <f>10^(-1*SLOPE($D$4:$D$24,M79:M99))-1</f>
        <v>0.8907282880115144</v>
      </c>
      <c r="O27" s="46">
        <f>10^(-1*SLOPE($D$4:$D$24,N79:N99))-1</f>
        <v>0.9655558899665346</v>
      </c>
      <c r="P27" s="46">
        <f>10^(-1*SLOPE($D$4:$D$24,O79:O99))-1</f>
        <v>0.9027785013873839</v>
      </c>
      <c r="Q27" s="3"/>
      <c r="R27" s="46">
        <f>10^(-1*SLOPE($D$4:$D$24,Q79:Q99))-1</f>
        <v>0.9270233397395473</v>
      </c>
      <c r="S27" s="46">
        <f>10^(-1*SLOPE($D$4:$D$24,R79:R99))-1</f>
        <v>0.9383829670387402</v>
      </c>
      <c r="T27" s="46">
        <f>10^(-1*SLOPE($D$4:$D$24,S79:S99))-1</f>
        <v>0.9055577104469088</v>
      </c>
    </row>
    <row r="28" spans="5:23" ht="12.75">
      <c r="E28" s="12" t="s">
        <v>28</v>
      </c>
      <c r="F28" s="47">
        <f>10^INTERCEPT($D$4:$D$24,E79:E99)</f>
        <v>181065261016.3716</v>
      </c>
      <c r="G28" s="47">
        <f>10^INTERCEPT($D$4:$D$24,F79:F99)</f>
        <v>143402533174.20404</v>
      </c>
      <c r="H28" s="47">
        <f>10^INTERCEPT($D$4:$D$24,G79:G99)</f>
        <v>69372747806.9221</v>
      </c>
      <c r="I28" s="2"/>
      <c r="J28" s="47">
        <f>10^INTERCEPT($D$4:$D$24,I79:I99)</f>
        <v>285390395304.86707</v>
      </c>
      <c r="K28" s="47">
        <f>10^INTERCEPT($D$4:$D$24,J79:J99)</f>
        <v>585430837399.9879</v>
      </c>
      <c r="L28" s="47">
        <f>10^INTERCEPT($D$4:$D$24,K79:K99)</f>
        <v>169169898270.0096</v>
      </c>
      <c r="M28" s="2"/>
      <c r="N28" s="47">
        <f>10^INTERCEPT($D$4:$D$24,M79:M99)</f>
        <v>181623398241.34055</v>
      </c>
      <c r="O28" s="47">
        <f>10^INTERCEPT($D$4:$D$24,N79:N99)</f>
        <v>368007155010.6709</v>
      </c>
      <c r="P28" s="47">
        <f>10^INTERCEPT($D$4:$D$24,O79:O99)</f>
        <v>111073347801.22481</v>
      </c>
      <c r="Q28" s="2"/>
      <c r="R28" s="47">
        <f>10^INTERCEPT($D$4:$D$24,Q79:Q99)</f>
        <v>311657438156.9386</v>
      </c>
      <c r="S28" s="47">
        <f>10^INTERCEPT($D$4:$D$24,R79:R99)</f>
        <v>255640638222.7393</v>
      </c>
      <c r="T28" s="47">
        <f>10^INTERCEPT($D$4:$D$24,S79:S99)</f>
        <v>88564447049.62245</v>
      </c>
      <c r="W28" s="2"/>
    </row>
    <row r="49" spans="5:8" ht="18">
      <c r="E49" s="93" t="s">
        <v>108</v>
      </c>
      <c r="F49" s="93"/>
      <c r="G49" s="93"/>
      <c r="H49" s="94"/>
    </row>
    <row r="50" spans="5:8" ht="13.5" thickBot="1">
      <c r="E50" s="6" t="s">
        <v>25</v>
      </c>
      <c r="F50" s="15" t="s">
        <v>0</v>
      </c>
      <c r="G50" s="17" t="s">
        <v>1</v>
      </c>
      <c r="H50" s="19" t="s">
        <v>2</v>
      </c>
    </row>
    <row r="51" spans="5:8" ht="12.75">
      <c r="E51" s="4">
        <v>8.620760489994206</v>
      </c>
      <c r="F51" s="23">
        <f aca="true" t="shared" si="0" ref="F51:F71">AVERAGE(E79,I79,M79,Q79)</f>
        <v>9.623067711927513</v>
      </c>
      <c r="G51" s="25">
        <f aca="true" t="shared" si="1" ref="G51:G71">AVERAGE(F79,J79,N79,R79)</f>
        <v>9.937769144879649</v>
      </c>
      <c r="H51" s="27">
        <f aca="true" t="shared" si="2" ref="H51:H71">AVERAGE(G79,K79,O79,S79)</f>
        <v>8.747949981540383</v>
      </c>
    </row>
    <row r="52" spans="5:8" ht="12.75">
      <c r="E52" s="4">
        <v>8.620760489994206</v>
      </c>
      <c r="F52" s="23">
        <f t="shared" si="0"/>
        <v>10.008550975952303</v>
      </c>
      <c r="G52" s="25">
        <f t="shared" si="1"/>
        <v>9.867968488751902</v>
      </c>
      <c r="H52" s="27">
        <f t="shared" si="2"/>
        <v>8.744953799664412</v>
      </c>
    </row>
    <row r="53" spans="5:8" ht="12.75">
      <c r="E53" s="4">
        <v>8.620760489994206</v>
      </c>
      <c r="F53" s="23">
        <f t="shared" si="0"/>
        <v>10.04196712344651</v>
      </c>
      <c r="G53" s="25">
        <f t="shared" si="1"/>
        <v>10.039852295321454</v>
      </c>
      <c r="H53" s="27">
        <f t="shared" si="2"/>
        <v>8.656345276319342</v>
      </c>
    </row>
    <row r="54" spans="5:8" ht="12.75">
      <c r="E54" s="4">
        <v>7.620760489994206</v>
      </c>
      <c r="F54" s="23">
        <f t="shared" si="0"/>
        <v>12.688614246401858</v>
      </c>
      <c r="G54" s="25">
        <f t="shared" si="1"/>
        <v>13.052758861460502</v>
      </c>
      <c r="H54" s="27">
        <f t="shared" si="2"/>
        <v>11.939703919725714</v>
      </c>
    </row>
    <row r="55" spans="5:8" ht="12.75">
      <c r="E55" s="4">
        <v>7.620760489994206</v>
      </c>
      <c r="F55" s="23">
        <f t="shared" si="0"/>
        <v>13.248227652126598</v>
      </c>
      <c r="G55" s="25">
        <f t="shared" si="1"/>
        <v>12.894860142956896</v>
      </c>
      <c r="H55" s="27">
        <f t="shared" si="2"/>
        <v>11.958357689431857</v>
      </c>
    </row>
    <row r="56" spans="5:8" ht="12.75">
      <c r="E56" s="4">
        <v>7.620760489994206</v>
      </c>
      <c r="F56" s="23">
        <f t="shared" si="0"/>
        <v>13.483764250576412</v>
      </c>
      <c r="G56" s="25">
        <f t="shared" si="1"/>
        <v>12.948950610318843</v>
      </c>
      <c r="H56" s="27">
        <f t="shared" si="2"/>
        <v>11.675157520151824</v>
      </c>
    </row>
    <row r="57" spans="5:8" ht="12.75">
      <c r="E57" s="4">
        <v>6.620760489994206</v>
      </c>
      <c r="F57" s="23">
        <f t="shared" si="0"/>
        <v>16.72971749234842</v>
      </c>
      <c r="G57" s="25">
        <f t="shared" si="1"/>
        <v>16.756079240475145</v>
      </c>
      <c r="H57" s="27">
        <f t="shared" si="2"/>
        <v>15.905211219229836</v>
      </c>
    </row>
    <row r="58" spans="5:8" ht="12.75">
      <c r="E58" s="4">
        <v>6.620760489994206</v>
      </c>
      <c r="F58" s="23">
        <f t="shared" si="0"/>
        <v>16.964236296228528</v>
      </c>
      <c r="G58" s="25">
        <f t="shared" si="1"/>
        <v>16.836866489729353</v>
      </c>
      <c r="H58" s="27">
        <f t="shared" si="2"/>
        <v>15.628576820359449</v>
      </c>
    </row>
    <row r="59" spans="5:8" ht="12.75">
      <c r="E59" s="4">
        <v>6.620760489994206</v>
      </c>
      <c r="F59" s="23">
        <f t="shared" si="0"/>
        <v>17.263467112245927</v>
      </c>
      <c r="G59" s="25">
        <f t="shared" si="1"/>
        <v>16.92865390602494</v>
      </c>
      <c r="H59" s="27">
        <f t="shared" si="2"/>
        <v>15.49034602274429</v>
      </c>
    </row>
    <row r="60" spans="5:8" ht="12.75">
      <c r="E60" s="4">
        <v>5.620760489994206</v>
      </c>
      <c r="F60" s="23">
        <f t="shared" si="0"/>
        <v>20.604119164020613</v>
      </c>
      <c r="G60" s="25">
        <f t="shared" si="1"/>
        <v>20.314792899125443</v>
      </c>
      <c r="H60" s="27">
        <f t="shared" si="2"/>
        <v>19.02221192306039</v>
      </c>
    </row>
    <row r="61" spans="5:8" ht="12.75">
      <c r="E61" s="4">
        <v>5.620760489994206</v>
      </c>
      <c r="F61" s="23">
        <f t="shared" si="0"/>
        <v>20.53786352321569</v>
      </c>
      <c r="G61" s="25">
        <f t="shared" si="1"/>
        <v>20.242914749458823</v>
      </c>
      <c r="H61" s="27">
        <f t="shared" si="2"/>
        <v>19.254319696327386</v>
      </c>
    </row>
    <row r="62" spans="5:8" ht="12.75">
      <c r="E62" s="4">
        <v>5.620760489994206</v>
      </c>
      <c r="F62" s="23">
        <f t="shared" si="0"/>
        <v>20.617480821001333</v>
      </c>
      <c r="G62" s="25">
        <f t="shared" si="1"/>
        <v>20.215085676532482</v>
      </c>
      <c r="H62" s="27">
        <f t="shared" si="2"/>
        <v>19.033414837354027</v>
      </c>
    </row>
    <row r="63" spans="5:8" ht="12.75">
      <c r="E63" s="4">
        <v>4.620760489994206</v>
      </c>
      <c r="F63" s="23">
        <f t="shared" si="0"/>
        <v>24.189156065171968</v>
      </c>
      <c r="G63" s="25">
        <f t="shared" si="1"/>
        <v>24.008926133144328</v>
      </c>
      <c r="H63" s="27">
        <f t="shared" si="2"/>
        <v>22.64190845991279</v>
      </c>
    </row>
    <row r="64" spans="5:8" ht="12.75">
      <c r="E64" s="4">
        <v>4.620760489994206</v>
      </c>
      <c r="F64" s="23">
        <f t="shared" si="0"/>
        <v>24.127550821781952</v>
      </c>
      <c r="G64" s="25">
        <f t="shared" si="1"/>
        <v>23.679395466002905</v>
      </c>
      <c r="H64" s="27">
        <f t="shared" si="2"/>
        <v>22.741244889625527</v>
      </c>
    </row>
    <row r="65" spans="5:8" ht="12.75">
      <c r="E65" s="4">
        <v>4.620760489994206</v>
      </c>
      <c r="F65" s="23">
        <f t="shared" si="0"/>
        <v>24.45840224390772</v>
      </c>
      <c r="G65" s="25">
        <f t="shared" si="1"/>
        <v>23.94092234023467</v>
      </c>
      <c r="H65" s="27">
        <f t="shared" si="2"/>
        <v>22.715520741238247</v>
      </c>
    </row>
    <row r="66" spans="5:8" ht="12.75">
      <c r="E66" s="4">
        <v>3.620760489994206</v>
      </c>
      <c r="F66" s="23">
        <f t="shared" si="0"/>
        <v>27.750858616964933</v>
      </c>
      <c r="G66" s="25">
        <f t="shared" si="1"/>
        <v>27.23767381090709</v>
      </c>
      <c r="H66" s="27">
        <f t="shared" si="2"/>
        <v>26.575949246396853</v>
      </c>
    </row>
    <row r="67" spans="5:8" ht="12.75">
      <c r="E67" s="4">
        <v>3.620760489994206</v>
      </c>
      <c r="F67" s="23">
        <f t="shared" si="0"/>
        <v>27.902022850478506</v>
      </c>
      <c r="G67" s="25">
        <f t="shared" si="1"/>
        <v>27.162294377779315</v>
      </c>
      <c r="H67" s="27">
        <f t="shared" si="2"/>
        <v>26.38486978200282</v>
      </c>
    </row>
    <row r="68" spans="5:8" ht="12.75">
      <c r="E68" s="4">
        <v>3.620760489994206</v>
      </c>
      <c r="F68" s="23">
        <f t="shared" si="0"/>
        <v>27.96668088631059</v>
      </c>
      <c r="G68" s="25">
        <f t="shared" si="1"/>
        <v>27.105716676262716</v>
      </c>
      <c r="H68" s="27">
        <f t="shared" si="2"/>
        <v>26.191152815858615</v>
      </c>
    </row>
    <row r="69" spans="5:8" ht="12.75">
      <c r="E69" s="4">
        <v>2.620760489994206</v>
      </c>
      <c r="F69" s="23">
        <f t="shared" si="0"/>
        <v>30.846717068586564</v>
      </c>
      <c r="G69" s="25">
        <f t="shared" si="1"/>
        <v>30.451657137236293</v>
      </c>
      <c r="H69" s="27">
        <f t="shared" si="2"/>
        <v>29.736386208853837</v>
      </c>
    </row>
    <row r="70" spans="5:8" ht="12.75">
      <c r="E70" s="4">
        <v>2.620760489994206</v>
      </c>
      <c r="F70" s="23">
        <f t="shared" si="0"/>
        <v>29.966176472901076</v>
      </c>
      <c r="G70" s="25">
        <f t="shared" si="1"/>
        <v>30.41149174157502</v>
      </c>
      <c r="H70" s="27">
        <f t="shared" si="2"/>
        <v>29.81101664078767</v>
      </c>
    </row>
    <row r="71" spans="5:8" ht="12.75">
      <c r="E71" s="4">
        <v>2.620760489994206</v>
      </c>
      <c r="F71" s="23">
        <f t="shared" si="0"/>
        <v>31.357049483006303</v>
      </c>
      <c r="G71" s="25">
        <f t="shared" si="1"/>
        <v>29.897430892797576</v>
      </c>
      <c r="H71" s="27">
        <f t="shared" si="2"/>
        <v>29.75036916467608</v>
      </c>
    </row>
    <row r="72" spans="6:8" ht="12.75">
      <c r="F72" s="77"/>
      <c r="G72" s="77"/>
      <c r="H72" s="77"/>
    </row>
    <row r="73" spans="6:8" ht="12.75">
      <c r="F73" s="77"/>
      <c r="G73" s="77"/>
      <c r="H73" s="77"/>
    </row>
    <row r="74" spans="5:19" ht="12.75">
      <c r="E74" s="97" t="s">
        <v>122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5:19" ht="12.75"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7" spans="5:19" ht="18">
      <c r="E77" s="93" t="s">
        <v>69</v>
      </c>
      <c r="F77" s="93"/>
      <c r="G77" s="93"/>
      <c r="I77" s="93" t="s">
        <v>70</v>
      </c>
      <c r="J77" s="93"/>
      <c r="K77" s="93"/>
      <c r="M77" s="93" t="s">
        <v>71</v>
      </c>
      <c r="N77" s="93"/>
      <c r="O77" s="93"/>
      <c r="Q77" s="93" t="s">
        <v>72</v>
      </c>
      <c r="R77" s="93"/>
      <c r="S77" s="93"/>
    </row>
    <row r="78" spans="5:19" ht="13.5" thickBot="1">
      <c r="E78" s="15" t="s">
        <v>0</v>
      </c>
      <c r="F78" s="17" t="s">
        <v>1</v>
      </c>
      <c r="G78" s="19" t="s">
        <v>2</v>
      </c>
      <c r="I78" s="15" t="s">
        <v>0</v>
      </c>
      <c r="J78" s="17" t="s">
        <v>1</v>
      </c>
      <c r="K78" s="19" t="s">
        <v>2</v>
      </c>
      <c r="M78" s="15" t="s">
        <v>0</v>
      </c>
      <c r="N78" s="17" t="s">
        <v>1</v>
      </c>
      <c r="O78" s="19" t="s">
        <v>2</v>
      </c>
      <c r="Q78" s="15" t="s">
        <v>0</v>
      </c>
      <c r="R78" s="17" t="s">
        <v>1</v>
      </c>
      <c r="S78" s="19" t="s">
        <v>2</v>
      </c>
    </row>
    <row r="79" spans="5:19" ht="12.75">
      <c r="E79" s="23">
        <v>8.897196421771378</v>
      </c>
      <c r="F79" s="25">
        <v>9.190226259008499</v>
      </c>
      <c r="G79" s="27">
        <v>8.209430816468027</v>
      </c>
      <c r="I79" s="23">
        <v>9.774233338455929</v>
      </c>
      <c r="J79" s="25">
        <v>10.143456548010716</v>
      </c>
      <c r="K79" s="27">
        <v>9.275288981639893</v>
      </c>
      <c r="M79" s="23">
        <v>9.641216171697645</v>
      </c>
      <c r="N79" s="25">
        <v>10.438676930948636</v>
      </c>
      <c r="O79" s="27"/>
      <c r="Q79" s="23">
        <v>10.179624915785107</v>
      </c>
      <c r="R79" s="25">
        <v>9.978716841550742</v>
      </c>
      <c r="S79" s="27">
        <v>8.759130146513233</v>
      </c>
    </row>
    <row r="80" spans="5:19" ht="12.75">
      <c r="E80" s="23"/>
      <c r="F80" s="25">
        <v>9.250191822139282</v>
      </c>
      <c r="G80" s="27">
        <v>8.062756193566319</v>
      </c>
      <c r="I80" s="23">
        <v>9.656286614001</v>
      </c>
      <c r="J80" s="25">
        <v>10.059918752012084</v>
      </c>
      <c r="K80" s="27">
        <v>9.00632831614979</v>
      </c>
      <c r="M80" s="23">
        <v>9.92652149137138</v>
      </c>
      <c r="N80" s="25">
        <v>10.255866726400187</v>
      </c>
      <c r="O80" s="27">
        <v>9.142979284238919</v>
      </c>
      <c r="Q80" s="23">
        <v>10.442844822484531</v>
      </c>
      <c r="R80" s="25">
        <v>9.905896654456056</v>
      </c>
      <c r="S80" s="27">
        <v>8.767751404702619</v>
      </c>
    </row>
    <row r="81" spans="5:19" ht="12.75">
      <c r="E81" s="23">
        <v>9.371833961524684</v>
      </c>
      <c r="F81" s="25">
        <v>9.36574300067126</v>
      </c>
      <c r="G81" s="27">
        <v>7.93450894357071</v>
      </c>
      <c r="I81" s="23">
        <v>10.511920402642994</v>
      </c>
      <c r="J81" s="25">
        <v>10.333788679551105</v>
      </c>
      <c r="K81" s="27">
        <v>8.916813932653325</v>
      </c>
      <c r="M81" s="23">
        <v>9.787099086957761</v>
      </c>
      <c r="N81" s="25">
        <v>10.428831094208384</v>
      </c>
      <c r="O81" s="27">
        <v>9.145020879021098</v>
      </c>
      <c r="Q81" s="23">
        <v>10.497015042660598</v>
      </c>
      <c r="R81" s="25">
        <v>10.031046406855067</v>
      </c>
      <c r="S81" s="27">
        <v>8.629037350032235</v>
      </c>
    </row>
    <row r="82" spans="5:19" ht="12.75">
      <c r="E82" s="23">
        <v>13.268892487798892</v>
      </c>
      <c r="F82" s="25">
        <v>13.017990054848294</v>
      </c>
      <c r="G82" s="27">
        <v>11.813748186447775</v>
      </c>
      <c r="I82" s="23">
        <v>12.52446215272002</v>
      </c>
      <c r="J82" s="25">
        <v>13.575216304690784</v>
      </c>
      <c r="K82" s="27">
        <v>12.442874277192658</v>
      </c>
      <c r="M82" s="23">
        <v>12.390579850993165</v>
      </c>
      <c r="N82" s="25">
        <v>13.125328646654967</v>
      </c>
      <c r="O82" s="27">
        <v>11.92648501010407</v>
      </c>
      <c r="Q82" s="23">
        <v>12.570522494095353</v>
      </c>
      <c r="R82" s="25">
        <v>12.49250043964796</v>
      </c>
      <c r="S82" s="27">
        <v>11.575708205158355</v>
      </c>
    </row>
    <row r="83" spans="5:19" ht="12.75">
      <c r="E83" s="23">
        <v>13.563191345334202</v>
      </c>
      <c r="F83" s="25">
        <v>12.942649789729225</v>
      </c>
      <c r="G83" s="27">
        <v>12.01926371693666</v>
      </c>
      <c r="I83" s="23">
        <v>13.463024567087535</v>
      </c>
      <c r="J83" s="25">
        <v>13.374539657835582</v>
      </c>
      <c r="K83" s="27">
        <v>12.425481304354477</v>
      </c>
      <c r="M83" s="23">
        <v>12.876031502951516</v>
      </c>
      <c r="N83" s="25">
        <v>12.875218430043551</v>
      </c>
      <c r="O83" s="27">
        <v>12.087629380958552</v>
      </c>
      <c r="Q83" s="23">
        <v>13.090663193133139</v>
      </c>
      <c r="R83" s="25">
        <v>12.38703269421922</v>
      </c>
      <c r="S83" s="27">
        <v>11.301056355477742</v>
      </c>
    </row>
    <row r="84" spans="5:19" ht="12.75">
      <c r="E84" s="23">
        <v>13.784226316632992</v>
      </c>
      <c r="F84" s="25">
        <v>13.060846468603541</v>
      </c>
      <c r="G84" s="27">
        <v>11.639932820975512</v>
      </c>
      <c r="I84" s="23">
        <v>13.678941435293147</v>
      </c>
      <c r="J84" s="25">
        <v>13.425277922883877</v>
      </c>
      <c r="K84" s="27">
        <v>12.112190134720803</v>
      </c>
      <c r="M84" s="23">
        <v>12.642866777485546</v>
      </c>
      <c r="N84" s="25">
        <v>12.794988802963132</v>
      </c>
      <c r="O84" s="27">
        <v>11.8615367483526</v>
      </c>
      <c r="Q84" s="23">
        <v>13.829022472893959</v>
      </c>
      <c r="R84" s="25">
        <v>12.514689246824819</v>
      </c>
      <c r="S84" s="27">
        <v>11.08697037655838</v>
      </c>
    </row>
    <row r="85" spans="5:19" ht="12.75">
      <c r="E85" s="23">
        <v>16.74049519433598</v>
      </c>
      <c r="F85" s="25">
        <v>16.250232061198485</v>
      </c>
      <c r="G85" s="27">
        <v>15.470319654823552</v>
      </c>
      <c r="I85" s="23">
        <v>16.85415244664078</v>
      </c>
      <c r="J85" s="25">
        <v>17.111452372796887</v>
      </c>
      <c r="K85" s="27">
        <v>16.06581511262158</v>
      </c>
      <c r="M85" s="23">
        <v>16.340304602885364</v>
      </c>
      <c r="N85" s="25">
        <v>16.80406002904722</v>
      </c>
      <c r="O85" s="27"/>
      <c r="Q85" s="23">
        <v>16.98391772553155</v>
      </c>
      <c r="R85" s="25">
        <v>16.858572498857985</v>
      </c>
      <c r="S85" s="27">
        <v>16.179498890244382</v>
      </c>
    </row>
    <row r="86" spans="5:19" ht="12.75">
      <c r="E86" s="23">
        <v>16.713971352654696</v>
      </c>
      <c r="F86" s="25">
        <v>16.412673727160335</v>
      </c>
      <c r="G86" s="27">
        <v>15.079611088148653</v>
      </c>
      <c r="I86" s="23">
        <v>17.005062680833465</v>
      </c>
      <c r="J86" s="25">
        <v>17.03908546390117</v>
      </c>
      <c r="K86" s="27">
        <v>16.018847790723182</v>
      </c>
      <c r="M86" s="23">
        <v>17.063486408879108</v>
      </c>
      <c r="N86" s="25">
        <v>16.94306177185475</v>
      </c>
      <c r="O86" s="27">
        <v>15.818173295381598</v>
      </c>
      <c r="Q86" s="23">
        <v>17.074424742546842</v>
      </c>
      <c r="R86" s="25">
        <v>16.95264499600116</v>
      </c>
      <c r="S86" s="27">
        <v>15.59767510718436</v>
      </c>
    </row>
    <row r="87" spans="5:19" ht="12.75">
      <c r="E87" s="23">
        <v>17.10800026129559</v>
      </c>
      <c r="F87" s="25">
        <v>16.4318628706312</v>
      </c>
      <c r="G87" s="27">
        <v>15.059877851996397</v>
      </c>
      <c r="I87" s="23">
        <v>17.33222367937569</v>
      </c>
      <c r="J87" s="25">
        <v>17.071988201606064</v>
      </c>
      <c r="K87" s="27">
        <v>15.717663800531593</v>
      </c>
      <c r="M87" s="23">
        <v>17.26632806824002</v>
      </c>
      <c r="N87" s="25">
        <v>16.937755261692978</v>
      </c>
      <c r="O87" s="27">
        <v>15.796315495083398</v>
      </c>
      <c r="Q87" s="23">
        <v>17.34731644007241</v>
      </c>
      <c r="R87" s="25">
        <v>17.27300929016952</v>
      </c>
      <c r="S87" s="27">
        <v>15.387526943365774</v>
      </c>
    </row>
    <row r="88" spans="5:19" ht="12.75">
      <c r="E88" s="23">
        <v>20.624093118794935</v>
      </c>
      <c r="F88" s="25">
        <v>20.26799024045355</v>
      </c>
      <c r="G88" s="27">
        <v>18.511213184546495</v>
      </c>
      <c r="I88" s="23">
        <v>20.39581011942973</v>
      </c>
      <c r="J88" s="25">
        <v>20.257098911452452</v>
      </c>
      <c r="K88" s="27">
        <v>19.261032386766534</v>
      </c>
      <c r="M88" s="23">
        <v>20.71632805081736</v>
      </c>
      <c r="N88" s="25">
        <v>20.309353337302728</v>
      </c>
      <c r="O88" s="27">
        <v>19.237684893780973</v>
      </c>
      <c r="Q88" s="23">
        <v>20.680245367040424</v>
      </c>
      <c r="R88" s="25">
        <v>20.42472910729305</v>
      </c>
      <c r="S88" s="27">
        <v>19.078917227147553</v>
      </c>
    </row>
    <row r="89" spans="5:19" ht="12.75">
      <c r="E89" s="23">
        <v>20.857802176215593</v>
      </c>
      <c r="F89" s="25">
        <v>20.280092376435594</v>
      </c>
      <c r="G89" s="27">
        <v>19.124555021453205</v>
      </c>
      <c r="I89" s="23">
        <v>19.566612559339248</v>
      </c>
      <c r="J89" s="25">
        <v>20.308150776998858</v>
      </c>
      <c r="K89" s="27">
        <v>19.41064045978257</v>
      </c>
      <c r="M89" s="23">
        <v>20.845184074720425</v>
      </c>
      <c r="N89" s="25">
        <v>20.23847443466524</v>
      </c>
      <c r="O89" s="27">
        <v>19.3607286538205</v>
      </c>
      <c r="Q89" s="23">
        <v>20.8818552825875</v>
      </c>
      <c r="R89" s="25">
        <v>20.14494140973561</v>
      </c>
      <c r="S89" s="27">
        <v>19.121354650253274</v>
      </c>
    </row>
    <row r="90" spans="5:19" ht="12.75">
      <c r="E90" s="23">
        <v>20.70037494040442</v>
      </c>
      <c r="F90" s="25">
        <v>20.14293610394817</v>
      </c>
      <c r="G90" s="27">
        <v>18.916096263125972</v>
      </c>
      <c r="I90" s="23">
        <v>20.661625884978434</v>
      </c>
      <c r="J90" s="25">
        <v>20.282789746680887</v>
      </c>
      <c r="K90" s="27"/>
      <c r="M90" s="23">
        <v>20.466602611590698</v>
      </c>
      <c r="N90" s="25">
        <v>20.132564115464426</v>
      </c>
      <c r="O90" s="27">
        <v>19.35928290951259</v>
      </c>
      <c r="Q90" s="23">
        <v>20.641319847031777</v>
      </c>
      <c r="R90" s="25">
        <v>20.302052740036437</v>
      </c>
      <c r="S90" s="27">
        <v>18.82486533942351</v>
      </c>
    </row>
    <row r="91" spans="5:19" ht="12.75">
      <c r="E91" s="23">
        <v>24.75566018789191</v>
      </c>
      <c r="F91" s="25">
        <v>24.24238489577339</v>
      </c>
      <c r="G91" s="27">
        <v>22.055433492189465</v>
      </c>
      <c r="I91" s="23">
        <v>24.164484051145013</v>
      </c>
      <c r="J91" s="25">
        <v>23.871370295632687</v>
      </c>
      <c r="K91" s="27">
        <v>22.76602660415455</v>
      </c>
      <c r="M91" s="23">
        <v>24.00693252427358</v>
      </c>
      <c r="N91" s="25">
        <v>24.09327151814114</v>
      </c>
      <c r="O91" s="27">
        <v>22.98420388373325</v>
      </c>
      <c r="Q91" s="23">
        <v>23.82954749737736</v>
      </c>
      <c r="R91" s="25">
        <v>23.828677823030084</v>
      </c>
      <c r="S91" s="27">
        <v>22.7619698595739</v>
      </c>
    </row>
    <row r="92" spans="5:19" ht="12.75">
      <c r="E92" s="23">
        <v>24.45816288650826</v>
      </c>
      <c r="F92" s="25"/>
      <c r="G92" s="27">
        <v>22.58948298398066</v>
      </c>
      <c r="I92" s="23">
        <v>24.024118620923886</v>
      </c>
      <c r="J92" s="25">
        <v>23.585851520998297</v>
      </c>
      <c r="K92" s="27">
        <v>22.80260773993308</v>
      </c>
      <c r="M92" s="23">
        <v>23.778082623657397</v>
      </c>
      <c r="N92" s="25">
        <v>23.92101214632661</v>
      </c>
      <c r="O92" s="27">
        <v>22.96615850505745</v>
      </c>
      <c r="Q92" s="23">
        <v>24.249839156038256</v>
      </c>
      <c r="R92" s="25">
        <v>23.53132273068382</v>
      </c>
      <c r="S92" s="27">
        <v>22.60673032953091</v>
      </c>
    </row>
    <row r="93" spans="5:19" ht="12.75">
      <c r="E93" s="23">
        <v>24.613807753456584</v>
      </c>
      <c r="F93" s="25">
        <v>24.122106257766426</v>
      </c>
      <c r="G93" s="27">
        <v>22.67977682703683</v>
      </c>
      <c r="I93" s="23">
        <v>24.593549986889357</v>
      </c>
      <c r="J93" s="25">
        <v>24.005375856765294</v>
      </c>
      <c r="K93" s="27">
        <v>22.750481337711694</v>
      </c>
      <c r="M93" s="23">
        <v>24.080405427059763</v>
      </c>
      <c r="N93" s="25">
        <v>23.957345913267922</v>
      </c>
      <c r="O93" s="27">
        <v>22.99243811039183</v>
      </c>
      <c r="Q93" s="23">
        <v>24.545845808225188</v>
      </c>
      <c r="R93" s="25">
        <v>23.67886133313906</v>
      </c>
      <c r="S93" s="27">
        <v>22.43938668981264</v>
      </c>
    </row>
    <row r="94" spans="5:19" ht="12.75">
      <c r="E94" s="23">
        <v>28.421136497279036</v>
      </c>
      <c r="F94" s="25">
        <v>27.454408094422615</v>
      </c>
      <c r="G94" s="27">
        <v>26.28930763672512</v>
      </c>
      <c r="I94" s="23">
        <v>27.69166890991363</v>
      </c>
      <c r="J94" s="25">
        <v>27.233522082847415</v>
      </c>
      <c r="K94" s="27">
        <v>26.77616999499962</v>
      </c>
      <c r="M94" s="23">
        <v>27.541594163540605</v>
      </c>
      <c r="N94" s="25">
        <v>27.036375293373798</v>
      </c>
      <c r="O94" s="27">
        <v>26.639958345589683</v>
      </c>
      <c r="Q94" s="23">
        <v>27.349034897126458</v>
      </c>
      <c r="R94" s="25">
        <v>27.226389772984536</v>
      </c>
      <c r="S94" s="27">
        <v>26.598361008272995</v>
      </c>
    </row>
    <row r="95" spans="5:19" ht="12.75">
      <c r="E95" s="23">
        <v>28.049131091679556</v>
      </c>
      <c r="F95" s="25">
        <v>27.470161083641642</v>
      </c>
      <c r="G95" s="27">
        <v>26.227577799907753</v>
      </c>
      <c r="I95" s="23">
        <v>27.842891577919854</v>
      </c>
      <c r="J95" s="25">
        <v>27.123314266033784</v>
      </c>
      <c r="K95" s="27">
        <v>26.547352234687665</v>
      </c>
      <c r="M95" s="23">
        <v>27.769424992741115</v>
      </c>
      <c r="N95" s="25">
        <v>26.99341535318976</v>
      </c>
      <c r="O95" s="27">
        <v>26.655920537289717</v>
      </c>
      <c r="Q95" s="23">
        <v>27.946643739573503</v>
      </c>
      <c r="R95" s="25">
        <v>27.062286808252072</v>
      </c>
      <c r="S95" s="27">
        <v>26.108628556126146</v>
      </c>
    </row>
    <row r="96" spans="5:19" ht="12.75">
      <c r="E96" s="23">
        <v>28.221759820339575</v>
      </c>
      <c r="F96" s="25">
        <v>27.519628718037428</v>
      </c>
      <c r="G96" s="27">
        <v>26.182680610150392</v>
      </c>
      <c r="I96" s="23">
        <v>28.215134139449646</v>
      </c>
      <c r="J96" s="25">
        <v>26.80040624376048</v>
      </c>
      <c r="K96" s="27">
        <v>26.557130840168842</v>
      </c>
      <c r="M96" s="23">
        <v>27.685292988314593</v>
      </c>
      <c r="N96" s="25">
        <v>27.001387365463927</v>
      </c>
      <c r="O96" s="27">
        <v>26.82119969832888</v>
      </c>
      <c r="Q96" s="23">
        <v>27.74453659713857</v>
      </c>
      <c r="R96" s="25">
        <v>27.101444377789022</v>
      </c>
      <c r="S96" s="27">
        <v>25.203600114786344</v>
      </c>
    </row>
    <row r="97" spans="5:19" ht="12.75">
      <c r="E97" s="23">
        <v>31.873133775811414</v>
      </c>
      <c r="F97" s="25">
        <v>30.341387839939074</v>
      </c>
      <c r="G97" s="27">
        <v>28.049947583676452</v>
      </c>
      <c r="I97" s="23">
        <v>29.72562477631357</v>
      </c>
      <c r="J97" s="25">
        <v>30.28655963764674</v>
      </c>
      <c r="K97" s="27">
        <v>29.920287082244617</v>
      </c>
      <c r="M97" s="23">
        <v>30.768455657238608</v>
      </c>
      <c r="N97" s="25">
        <v>30.581773354617674</v>
      </c>
      <c r="O97" s="27">
        <v>30.31119454712374</v>
      </c>
      <c r="Q97" s="23">
        <v>31.01965406498266</v>
      </c>
      <c r="R97" s="25">
        <v>30.59690771674168</v>
      </c>
      <c r="S97" s="27">
        <v>30.664115622370534</v>
      </c>
    </row>
    <row r="98" spans="5:19" ht="12.75">
      <c r="E98" s="23">
        <v>28.314593887275485</v>
      </c>
      <c r="F98" s="25">
        <v>31.461621043006627</v>
      </c>
      <c r="G98" s="27">
        <v>30.01455364603194</v>
      </c>
      <c r="I98" s="23">
        <v>30.21807855404343</v>
      </c>
      <c r="J98" s="25">
        <v>29.885074832734766</v>
      </c>
      <c r="K98" s="27">
        <v>29.11055539036533</v>
      </c>
      <c r="M98" s="23">
        <v>30.821806497422948</v>
      </c>
      <c r="N98" s="25">
        <v>30.150971456011387</v>
      </c>
      <c r="O98" s="27">
        <v>29.91895787934303</v>
      </c>
      <c r="Q98" s="23">
        <v>30.510226952862443</v>
      </c>
      <c r="R98" s="25">
        <v>30.148299634547303</v>
      </c>
      <c r="S98" s="27">
        <v>30.199999647410383</v>
      </c>
    </row>
    <row r="99" spans="5:19" ht="12.75">
      <c r="E99" s="23">
        <v>31.45234031062986</v>
      </c>
      <c r="F99" s="25">
        <v>31.487540262813496</v>
      </c>
      <c r="G99" s="27">
        <v>30.973682320337268</v>
      </c>
      <c r="I99" s="23">
        <v>30.857680767790935</v>
      </c>
      <c r="J99" s="25">
        <v>27.385738661049224</v>
      </c>
      <c r="K99" s="27">
        <v>29.252245322922995</v>
      </c>
      <c r="M99" s="23">
        <v>31.61934031546945</v>
      </c>
      <c r="N99" s="25">
        <v>30.374554573231364</v>
      </c>
      <c r="O99" s="27">
        <v>30.211950556099197</v>
      </c>
      <c r="Q99" s="23">
        <v>31.49883653813497</v>
      </c>
      <c r="R99" s="25">
        <v>30.341890074096213</v>
      </c>
      <c r="S99" s="27">
        <v>28.563598459344867</v>
      </c>
    </row>
  </sheetData>
  <mergeCells count="11">
    <mergeCell ref="E74:S75"/>
    <mergeCell ref="F2:H2"/>
    <mergeCell ref="J2:L2"/>
    <mergeCell ref="E77:G77"/>
    <mergeCell ref="I77:K77"/>
    <mergeCell ref="M77:O77"/>
    <mergeCell ref="Q77:S77"/>
    <mergeCell ref="N2:P2"/>
    <mergeCell ref="R2:T2"/>
    <mergeCell ref="E49:H49"/>
    <mergeCell ref="V2:Y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.28125" style="0" bestFit="1" customWidth="1"/>
    <col min="3" max="3" width="10.57421875" style="0" customWidth="1"/>
    <col min="4" max="5" width="12.00390625" style="0" bestFit="1" customWidth="1"/>
    <col min="6" max="7" width="12.7109375" style="0" bestFit="1" customWidth="1"/>
    <col min="8" max="8" width="15.57421875" style="0" bestFit="1" customWidth="1"/>
    <col min="9" max="9" width="12.00390625" style="0" customWidth="1"/>
    <col min="10" max="11" width="12.00390625" style="0" bestFit="1" customWidth="1"/>
    <col min="12" max="13" width="9.57421875" style="0" bestFit="1" customWidth="1"/>
    <col min="14" max="14" width="12.421875" style="0" bestFit="1" customWidth="1"/>
    <col min="15" max="15" width="9.00390625" style="0" bestFit="1" customWidth="1"/>
    <col min="16" max="16" width="8.28125" style="0" bestFit="1" customWidth="1"/>
    <col min="17" max="17" width="9.57421875" style="0" bestFit="1" customWidth="1"/>
    <col min="18" max="18" width="9.7109375" style="0" bestFit="1" customWidth="1"/>
    <col min="19" max="19" width="9.00390625" style="0" bestFit="1" customWidth="1"/>
    <col min="20" max="20" width="8.28125" style="0" bestFit="1" customWidth="1"/>
    <col min="21" max="21" width="9.8515625" style="0" bestFit="1" customWidth="1"/>
    <col min="23" max="23" width="6.8515625" style="0" bestFit="1" customWidth="1"/>
    <col min="24" max="28" width="6.7109375" style="0" bestFit="1" customWidth="1"/>
    <col min="29" max="31" width="9.8515625" style="0" bestFit="1" customWidth="1"/>
  </cols>
  <sheetData>
    <row r="2" spans="3:16" ht="18.75" thickBot="1">
      <c r="C2" s="93" t="s">
        <v>115</v>
      </c>
      <c r="D2" s="94"/>
      <c r="E2" s="94"/>
      <c r="F2" s="94"/>
      <c r="G2" s="94"/>
      <c r="H2" s="71"/>
      <c r="I2" s="102" t="s">
        <v>105</v>
      </c>
      <c r="J2" s="102"/>
      <c r="K2" s="102"/>
      <c r="M2" s="102" t="s">
        <v>117</v>
      </c>
      <c r="N2" s="103"/>
      <c r="O2" s="103"/>
      <c r="P2" s="103"/>
    </row>
    <row r="3" spans="2:16" ht="16.5" thickBot="1">
      <c r="B3" s="63"/>
      <c r="C3" s="15" t="s">
        <v>0</v>
      </c>
      <c r="D3" s="17" t="s">
        <v>1</v>
      </c>
      <c r="E3" s="19" t="s">
        <v>114</v>
      </c>
      <c r="F3" s="6" t="s">
        <v>40</v>
      </c>
      <c r="G3" s="6" t="s">
        <v>56</v>
      </c>
      <c r="I3" s="107" t="s">
        <v>106</v>
      </c>
      <c r="J3" s="105"/>
      <c r="K3" s="5">
        <v>4.64</v>
      </c>
      <c r="M3" s="72" t="s">
        <v>33</v>
      </c>
      <c r="N3" s="104" t="s">
        <v>94</v>
      </c>
      <c r="O3" s="105"/>
      <c r="P3" s="105"/>
    </row>
    <row r="4" spans="2:16" ht="15.75">
      <c r="B4" s="12" t="s">
        <v>33</v>
      </c>
      <c r="C4" s="30">
        <v>760000</v>
      </c>
      <c r="D4" s="31">
        <v>760000</v>
      </c>
      <c r="E4" s="32">
        <v>28571</v>
      </c>
      <c r="F4" s="11">
        <v>1</v>
      </c>
      <c r="G4" s="11">
        <v>53</v>
      </c>
      <c r="I4" s="108" t="s">
        <v>107</v>
      </c>
      <c r="J4" s="106"/>
      <c r="K4" s="5">
        <v>3.67</v>
      </c>
      <c r="M4" s="72" t="s">
        <v>34</v>
      </c>
      <c r="N4" s="96" t="s">
        <v>95</v>
      </c>
      <c r="O4" s="106"/>
      <c r="P4" s="106"/>
    </row>
    <row r="5" spans="2:16" ht="15.75">
      <c r="B5" s="12" t="s">
        <v>34</v>
      </c>
      <c r="C5" s="30">
        <v>163922</v>
      </c>
      <c r="D5" s="31">
        <v>163922</v>
      </c>
      <c r="E5" s="32">
        <v>6163</v>
      </c>
      <c r="F5" s="11">
        <v>1</v>
      </c>
      <c r="G5" s="11">
        <v>53</v>
      </c>
      <c r="M5" s="72" t="s">
        <v>35</v>
      </c>
      <c r="N5" s="96" t="s">
        <v>96</v>
      </c>
      <c r="O5" s="106"/>
      <c r="P5" s="106"/>
    </row>
    <row r="6" spans="2:7" ht="12.75">
      <c r="B6" s="12" t="s">
        <v>35</v>
      </c>
      <c r="C6" s="30">
        <v>44665</v>
      </c>
      <c r="D6" s="31">
        <v>44665</v>
      </c>
      <c r="E6" s="32">
        <v>1679</v>
      </c>
      <c r="F6" s="11">
        <v>1</v>
      </c>
      <c r="G6" s="11">
        <v>53</v>
      </c>
    </row>
    <row r="9" spans="2:16" ht="18">
      <c r="B9" s="11"/>
      <c r="C9" s="100" t="s">
        <v>86</v>
      </c>
      <c r="D9" s="100"/>
      <c r="E9" s="100"/>
      <c r="F9" s="100"/>
      <c r="G9" s="100"/>
      <c r="H9" s="100"/>
      <c r="I9" s="100"/>
      <c r="J9" s="100"/>
      <c r="K9" s="100"/>
      <c r="M9" s="101" t="s">
        <v>46</v>
      </c>
      <c r="N9" s="101"/>
      <c r="O9" s="101"/>
      <c r="P9" s="101"/>
    </row>
    <row r="10" spans="2:16" ht="13.5" thickBot="1">
      <c r="B10" s="11"/>
      <c r="C10" s="59" t="s">
        <v>0</v>
      </c>
      <c r="D10" s="59"/>
      <c r="E10" s="59"/>
      <c r="F10" s="60" t="s">
        <v>1</v>
      </c>
      <c r="G10" s="60"/>
      <c r="H10" s="60"/>
      <c r="I10" s="61" t="s">
        <v>2</v>
      </c>
      <c r="J10" s="61"/>
      <c r="K10" s="61"/>
      <c r="M10" s="29" t="s">
        <v>32</v>
      </c>
      <c r="N10" s="29" t="s">
        <v>27</v>
      </c>
      <c r="O10" s="29" t="s">
        <v>48</v>
      </c>
      <c r="P10" s="29" t="s">
        <v>47</v>
      </c>
    </row>
    <row r="11" spans="2:16" ht="13.5" thickBot="1">
      <c r="B11" s="14"/>
      <c r="C11" s="15" t="s">
        <v>42</v>
      </c>
      <c r="D11" s="15" t="s">
        <v>43</v>
      </c>
      <c r="E11" s="15" t="s">
        <v>44</v>
      </c>
      <c r="F11" s="17" t="s">
        <v>42</v>
      </c>
      <c r="G11" s="17" t="s">
        <v>43</v>
      </c>
      <c r="H11" s="17" t="s">
        <v>44</v>
      </c>
      <c r="I11" s="19" t="s">
        <v>42</v>
      </c>
      <c r="J11" s="19" t="s">
        <v>43</v>
      </c>
      <c r="K11" s="19" t="s">
        <v>44</v>
      </c>
      <c r="M11" s="16" t="s">
        <v>0</v>
      </c>
      <c r="N11" s="23">
        <v>0.9178415480437662</v>
      </c>
      <c r="O11" s="24">
        <v>183069288835.5936</v>
      </c>
      <c r="P11" s="16">
        <v>0.0038200000000000005</v>
      </c>
    </row>
    <row r="12" spans="2:16" ht="12.75">
      <c r="B12" s="12" t="s">
        <v>33</v>
      </c>
      <c r="C12" s="73">
        <v>17.836684332888296</v>
      </c>
      <c r="D12" s="73">
        <v>17.178486775202586</v>
      </c>
      <c r="E12" s="73">
        <v>16.976160312482193</v>
      </c>
      <c r="F12" s="22">
        <v>16.009679758181694</v>
      </c>
      <c r="G12" s="22">
        <v>15.807407778629319</v>
      </c>
      <c r="H12" s="22">
        <v>15.826262147384732</v>
      </c>
      <c r="I12" s="28">
        <v>21.078187626893452</v>
      </c>
      <c r="J12" s="28">
        <v>21.062622746086276</v>
      </c>
      <c r="K12" s="28">
        <v>21.00717052088131</v>
      </c>
      <c r="M12" s="18" t="s">
        <v>1</v>
      </c>
      <c r="N12" s="25">
        <v>0.9903036832845945</v>
      </c>
      <c r="O12" s="26">
        <v>73088225216.54927</v>
      </c>
      <c r="P12" s="18">
        <v>0.0021699999999999996</v>
      </c>
    </row>
    <row r="13" spans="2:16" ht="12.75">
      <c r="B13" s="12" t="s">
        <v>34</v>
      </c>
      <c r="C13" s="21">
        <v>19.534135975258923</v>
      </c>
      <c r="D13" s="21">
        <v>19.774351482756224</v>
      </c>
      <c r="E13" s="21">
        <v>19.722791773305268</v>
      </c>
      <c r="F13" s="22">
        <v>17.30776315939507</v>
      </c>
      <c r="G13" s="22">
        <v>17.282164047146853</v>
      </c>
      <c r="H13" s="22">
        <v>17.306824463093022</v>
      </c>
      <c r="I13" s="28">
        <v>23.305156121402185</v>
      </c>
      <c r="J13" s="28">
        <v>23.628418621349848</v>
      </c>
      <c r="K13" s="28">
        <v>23.547397891591125</v>
      </c>
      <c r="M13" s="20" t="s">
        <v>2</v>
      </c>
      <c r="N13" s="27">
        <v>1.0135889232074258</v>
      </c>
      <c r="O13" s="8">
        <v>260138785152.65244</v>
      </c>
      <c r="P13" s="20">
        <v>0.00723</v>
      </c>
    </row>
    <row r="14" spans="2:15" ht="12.75">
      <c r="B14" s="12" t="s">
        <v>35</v>
      </c>
      <c r="C14" s="21">
        <v>22.565491441831917</v>
      </c>
      <c r="D14" s="21">
        <v>22.66072147181292</v>
      </c>
      <c r="E14" s="21">
        <v>22.95238930210417</v>
      </c>
      <c r="F14" s="73">
        <v>17.46596901677058</v>
      </c>
      <c r="G14" s="73">
        <v>17.743133252732598</v>
      </c>
      <c r="H14" s="73">
        <v>17.57825614778705</v>
      </c>
      <c r="I14" s="28">
        <v>25.715524114819175</v>
      </c>
      <c r="J14" s="28">
        <v>26.007878582150877</v>
      </c>
      <c r="K14" s="28">
        <v>26.008354914073042</v>
      </c>
      <c r="M14" s="62"/>
      <c r="N14" s="62"/>
      <c r="O14" s="62"/>
    </row>
    <row r="15" spans="13:15" ht="12.75">
      <c r="M15" s="62"/>
      <c r="N15" s="62"/>
      <c r="O15" s="62"/>
    </row>
    <row r="16" spans="2:15" ht="18">
      <c r="B16" s="11"/>
      <c r="C16" s="100" t="s">
        <v>87</v>
      </c>
      <c r="D16" s="100"/>
      <c r="E16" s="100"/>
      <c r="F16" s="100"/>
      <c r="G16" s="100"/>
      <c r="H16" s="100"/>
      <c r="I16" s="100"/>
      <c r="J16" s="100"/>
      <c r="K16" s="100"/>
      <c r="M16" s="62"/>
      <c r="N16" s="62"/>
      <c r="O16" s="62"/>
    </row>
    <row r="17" spans="2:15" ht="12.75">
      <c r="B17" s="11"/>
      <c r="C17" s="59" t="s">
        <v>0</v>
      </c>
      <c r="D17" s="59"/>
      <c r="E17" s="59"/>
      <c r="F17" s="60" t="s">
        <v>1</v>
      </c>
      <c r="G17" s="60"/>
      <c r="H17" s="60"/>
      <c r="I17" s="5" t="s">
        <v>2</v>
      </c>
      <c r="J17" s="5"/>
      <c r="K17" s="5"/>
      <c r="M17" s="62"/>
      <c r="N17" s="62"/>
      <c r="O17" s="62"/>
    </row>
    <row r="18" spans="2:15" ht="13.5" thickBot="1">
      <c r="B18" s="14"/>
      <c r="C18" s="15" t="s">
        <v>42</v>
      </c>
      <c r="D18" s="15" t="s">
        <v>43</v>
      </c>
      <c r="E18" s="15" t="s">
        <v>44</v>
      </c>
      <c r="F18" s="17" t="s">
        <v>42</v>
      </c>
      <c r="G18" s="17" t="s">
        <v>43</v>
      </c>
      <c r="H18" s="17" t="s">
        <v>44</v>
      </c>
      <c r="I18" s="19" t="s">
        <v>42</v>
      </c>
      <c r="J18" s="19" t="s">
        <v>43</v>
      </c>
      <c r="K18" s="19" t="s">
        <v>44</v>
      </c>
      <c r="M18" s="62"/>
      <c r="N18" s="62"/>
      <c r="O18" s="62"/>
    </row>
    <row r="19" spans="2:15" ht="12.75">
      <c r="B19" s="12" t="s">
        <v>33</v>
      </c>
      <c r="C19" s="16">
        <v>16.88163809328413</v>
      </c>
      <c r="D19" s="16">
        <v>16.85577900778433</v>
      </c>
      <c r="E19" s="16">
        <v>16.9723461125387</v>
      </c>
      <c r="F19" s="18">
        <v>15.911128335775073</v>
      </c>
      <c r="G19" s="18">
        <v>15.955107659192825</v>
      </c>
      <c r="H19" s="18">
        <v>15.915412395817633</v>
      </c>
      <c r="I19" s="20">
        <v>21.01385479919995</v>
      </c>
      <c r="J19" s="20">
        <v>21.11127044265046</v>
      </c>
      <c r="K19" s="20">
        <v>21.126107448369073</v>
      </c>
      <c r="M19" s="62"/>
      <c r="N19" s="62"/>
      <c r="O19" s="62"/>
    </row>
    <row r="20" spans="2:15" ht="12.75">
      <c r="B20" s="12" t="s">
        <v>34</v>
      </c>
      <c r="C20" s="16">
        <v>19.223083975611416</v>
      </c>
      <c r="D20" s="16">
        <v>19.483871083242796</v>
      </c>
      <c r="E20" s="16">
        <v>19.677030536381334</v>
      </c>
      <c r="F20" s="18">
        <v>18.014862903972794</v>
      </c>
      <c r="G20" s="18">
        <v>18.311216272833267</v>
      </c>
      <c r="H20" s="18">
        <v>18.336903978947458</v>
      </c>
      <c r="I20" s="20">
        <v>23.9603995088969</v>
      </c>
      <c r="J20" s="20">
        <v>23.945914964807</v>
      </c>
      <c r="K20" s="20">
        <v>23.784567816949895</v>
      </c>
      <c r="M20" s="62"/>
      <c r="N20" s="62"/>
      <c r="O20" s="62"/>
    </row>
    <row r="21" spans="2:15" ht="12.75">
      <c r="B21" s="12" t="s">
        <v>35</v>
      </c>
      <c r="C21" s="16">
        <v>22.726456060535657</v>
      </c>
      <c r="D21" s="16">
        <v>22.436317680390285</v>
      </c>
      <c r="E21" s="16">
        <v>23.07380349229481</v>
      </c>
      <c r="F21" s="18">
        <v>19.707459936206284</v>
      </c>
      <c r="G21" s="18">
        <v>20.087737044024568</v>
      </c>
      <c r="H21" s="18">
        <v>20.082325448713167</v>
      </c>
      <c r="I21" s="20">
        <v>24.02762716552891</v>
      </c>
      <c r="J21" s="20">
        <v>27.332855894388118</v>
      </c>
      <c r="K21" s="20">
        <v>27.58368083081869</v>
      </c>
      <c r="M21" s="62"/>
      <c r="N21" s="62"/>
      <c r="O21" s="62"/>
    </row>
    <row r="22" spans="13:15" ht="19.5">
      <c r="M22" s="88"/>
      <c r="N22" s="84"/>
      <c r="O22" s="62"/>
    </row>
    <row r="23" spans="2:14" ht="18.75">
      <c r="B23" s="11"/>
      <c r="C23" s="100" t="s">
        <v>88</v>
      </c>
      <c r="D23" s="100"/>
      <c r="E23" s="100"/>
      <c r="F23" s="100"/>
      <c r="G23" s="100"/>
      <c r="H23" s="100"/>
      <c r="I23" s="100"/>
      <c r="J23" s="100"/>
      <c r="K23" s="100"/>
      <c r="M23" s="2"/>
      <c r="N23" s="85"/>
    </row>
    <row r="24" spans="2:14" ht="18.75">
      <c r="B24" s="11"/>
      <c r="C24" s="59" t="s">
        <v>0</v>
      </c>
      <c r="D24" s="59"/>
      <c r="E24" s="59"/>
      <c r="F24" s="60" t="s">
        <v>1</v>
      </c>
      <c r="G24" s="60"/>
      <c r="H24" s="60"/>
      <c r="I24" s="61" t="s">
        <v>2</v>
      </c>
      <c r="J24" s="61"/>
      <c r="K24" s="61"/>
      <c r="N24" s="85"/>
    </row>
    <row r="25" spans="2:14" ht="21" thickBot="1">
      <c r="B25" s="14"/>
      <c r="C25" s="15" t="s">
        <v>42</v>
      </c>
      <c r="D25" s="15" t="s">
        <v>43</v>
      </c>
      <c r="E25" s="15" t="s">
        <v>44</v>
      </c>
      <c r="F25" s="17" t="s">
        <v>42</v>
      </c>
      <c r="G25" s="17" t="s">
        <v>43</v>
      </c>
      <c r="H25" s="17" t="s">
        <v>44</v>
      </c>
      <c r="I25" s="19" t="s">
        <v>42</v>
      </c>
      <c r="J25" s="19" t="s">
        <v>43</v>
      </c>
      <c r="K25" s="19" t="s">
        <v>44</v>
      </c>
      <c r="N25" s="86"/>
    </row>
    <row r="26" spans="2:11" ht="12.75">
      <c r="B26" s="12" t="s">
        <v>33</v>
      </c>
      <c r="C26" s="16">
        <v>18.365061428473407</v>
      </c>
      <c r="D26" s="16">
        <v>18.55493021843932</v>
      </c>
      <c r="E26" s="16">
        <v>18.580513367722023</v>
      </c>
      <c r="F26" s="18">
        <v>16.22183605374561</v>
      </c>
      <c r="G26" s="18">
        <v>16.04881395726277</v>
      </c>
      <c r="H26" s="18">
        <v>16.186134990875225</v>
      </c>
      <c r="I26" s="20">
        <v>21.1575240925674</v>
      </c>
      <c r="J26" s="20">
        <v>21.182447745072952</v>
      </c>
      <c r="K26" s="20">
        <v>21.133759579719367</v>
      </c>
    </row>
    <row r="27" spans="2:11" ht="12.75">
      <c r="B27" s="12" t="s">
        <v>34</v>
      </c>
      <c r="C27" s="16">
        <v>20.987922950493186</v>
      </c>
      <c r="D27" s="16">
        <v>21.07076699333396</v>
      </c>
      <c r="E27" s="16">
        <v>21.15795332247442</v>
      </c>
      <c r="F27" s="18">
        <v>17.91960616204836</v>
      </c>
      <c r="G27" s="18">
        <v>18.027631996017842</v>
      </c>
      <c r="H27" s="18">
        <v>18.06938656332224</v>
      </c>
      <c r="I27" s="20">
        <v>23.81247980734159</v>
      </c>
      <c r="J27" s="20">
        <v>24.037328569872106</v>
      </c>
      <c r="K27" s="20">
        <v>24.103521446778398</v>
      </c>
    </row>
    <row r="28" spans="2:11" ht="12.75">
      <c r="B28" s="12" t="s">
        <v>35</v>
      </c>
      <c r="C28" s="16">
        <v>24.23470264256339</v>
      </c>
      <c r="D28" s="16">
        <v>24.478096367182847</v>
      </c>
      <c r="E28" s="16">
        <v>24.62304200634595</v>
      </c>
      <c r="F28" s="18">
        <v>19.26470688213951</v>
      </c>
      <c r="G28" s="18">
        <v>19.773088151345714</v>
      </c>
      <c r="H28" s="18">
        <v>19.85601165560402</v>
      </c>
      <c r="I28" s="20">
        <v>26.867220571479184</v>
      </c>
      <c r="J28" s="20">
        <v>27.023874128283914</v>
      </c>
      <c r="K28" s="20">
        <v>26.195623151953097</v>
      </c>
    </row>
    <row r="29" ht="12.75">
      <c r="N29" s="87"/>
    </row>
    <row r="31" spans="2:14" ht="18">
      <c r="B31" s="12"/>
      <c r="C31" s="99" t="s">
        <v>91</v>
      </c>
      <c r="D31" s="99"/>
      <c r="E31" s="99"/>
      <c r="F31" s="99"/>
      <c r="G31" s="99"/>
      <c r="H31" s="99"/>
      <c r="I31" s="69"/>
      <c r="J31" s="69"/>
      <c r="N31" s="2"/>
    </row>
    <row r="32" spans="2:14" ht="13.5" thickBot="1">
      <c r="B32" s="14"/>
      <c r="C32" s="15" t="s">
        <v>0</v>
      </c>
      <c r="D32" s="17" t="s">
        <v>1</v>
      </c>
      <c r="E32" s="19" t="s">
        <v>2</v>
      </c>
      <c r="F32" s="15" t="s">
        <v>55</v>
      </c>
      <c r="G32" s="17" t="s">
        <v>56</v>
      </c>
      <c r="H32" s="6" t="s">
        <v>40</v>
      </c>
      <c r="I32" s="70"/>
      <c r="J32" s="70"/>
      <c r="N32" s="54"/>
    </row>
    <row r="33" spans="2:10" ht="12.75">
      <c r="B33" s="64" t="s">
        <v>33</v>
      </c>
      <c r="C33" s="65">
        <f>AVERAGE(e2nt1/(1+e2eff1)^MEDIAN(C12:E12),e2nt1/(1+e2eff1)^MEDIAN(C26:E26))</f>
        <v>1786126.0875909028</v>
      </c>
      <c r="D33" s="66">
        <f>AVERAGE(e6nt1/(1+e6eff1)^MEDIAN(F12:H12),e6nt1/(1+e6eff1)^MEDIAN(F19:H19),e6nt1/(1+e6eff1)^MEDIAN(F26:H26))</f>
        <v>1232229.7413012327</v>
      </c>
      <c r="E33" s="67">
        <f>AVERAGE(hmbsnt1/(1+hmbseff1)^MEDIAN(I12:K12),hmbsnt1/(1+hmbseff1)^MEDIAN(I19:K19),hmbsnt1/(1+hmbseff1)^MEDIAN(I26:K26))</f>
        <v>99631.66131322425</v>
      </c>
      <c r="F33" s="65">
        <f>C33/(E33/2)</f>
        <v>35.8545880706664</v>
      </c>
      <c r="G33" s="66">
        <f>D33/(E33/2)</f>
        <v>24.73570600067224</v>
      </c>
      <c r="H33" s="68">
        <f>C33/D33</f>
        <v>1.4495073667875897</v>
      </c>
      <c r="J33" s="57"/>
    </row>
    <row r="34" spans="2:9" ht="12.75">
      <c r="B34" s="64" t="s">
        <v>34</v>
      </c>
      <c r="C34" s="65">
        <f>AVERAGE(e2nt1/(1+e2eff1)^MEDIAN(C13:E13),e2nt1/(1+e2eff1)^MEDIAN(C20:E20),e2nt1/(1+e2eff1)^MEDIAN(C27:E27))</f>
        <v>416808.4812656659</v>
      </c>
      <c r="D34" s="66">
        <f>AVERAGE(e6nt1/(1+e6eff1)^MEDIAN(F13:H13),e6nt1/(1+e6eff1)^MEDIAN(F20:H20),e6nt1/(1+e6eff1)^MEDIAN(F27:H27))</f>
        <v>344845.1325129269</v>
      </c>
      <c r="E34" s="67">
        <f>AVERAGE(hmbsnt1/(1+hmbseff1)^MEDIAN(I13:K13),hmbsnt1/(1+hmbseff1)^MEDIAN(I20:K20),hmbsnt1/(1+hmbseff1)^MEDIAN(I27:K27))</f>
        <v>14873.289512924579</v>
      </c>
      <c r="F34" s="65">
        <f>C34/(E34/2)</f>
        <v>56.04792146397312</v>
      </c>
      <c r="G34" s="66">
        <f>D34/(E34/2)</f>
        <v>46.37106434501442</v>
      </c>
      <c r="H34" s="68">
        <f>C34/D34</f>
        <v>1.2086830926924608</v>
      </c>
      <c r="I34" s="57" t="s">
        <v>93</v>
      </c>
    </row>
    <row r="35" spans="2:10" ht="12.75">
      <c r="B35" s="64" t="s">
        <v>35</v>
      </c>
      <c r="C35" s="65">
        <f>AVERAGE(e2nt1/(1+e2eff1)^MEDIAN(C14:E14),e2nt1/(1+e2eff1)^MEDIAN(C21:E21),e2nt1/(1+e2eff1)^MEDIAN(C28:E28))</f>
        <v>53912.52926721293</v>
      </c>
      <c r="D35" s="66">
        <f>AVERAGE(e6nt1/(1+e6eff1)^MEDIAN(F21:H21),e6nt1/(1+e6eff1)^MEDIAN(F28:H28))</f>
        <v>81194.20306141544</v>
      </c>
      <c r="E35" s="67">
        <f>AVERAGE(hmbsnt1/(1+hmbseff1)^MEDIAN(I14:K14),hmbsnt1/(1+hmbseff1)^MEDIAN(I21:K21),hmbsnt1/(1+hmbseff1)^MEDIAN(I28:K28))</f>
        <v>2094.3720726869255</v>
      </c>
      <c r="F35" s="65">
        <f>C35/(E35/2)</f>
        <v>51.483239268032364</v>
      </c>
      <c r="G35" s="66">
        <f>D35/(E35/2)</f>
        <v>77.53560517759314</v>
      </c>
      <c r="H35" s="68">
        <f>C35/D35</f>
        <v>0.6639948079351601</v>
      </c>
      <c r="I35" s="56"/>
      <c r="J35" s="57"/>
    </row>
    <row r="37" spans="9:10" ht="18">
      <c r="I37" s="55"/>
      <c r="J37" s="55"/>
    </row>
    <row r="38" spans="2:10" ht="18">
      <c r="B38" s="12"/>
      <c r="C38" s="93" t="s">
        <v>92</v>
      </c>
      <c r="D38" s="93"/>
      <c r="E38" s="93"/>
      <c r="F38" s="93"/>
      <c r="G38" s="93"/>
      <c r="H38" s="93"/>
      <c r="I38" s="70"/>
      <c r="J38" s="70"/>
    </row>
    <row r="39" spans="2:10" ht="13.5" thickBot="1">
      <c r="B39" s="14"/>
      <c r="C39" s="15" t="s">
        <v>0</v>
      </c>
      <c r="D39" s="17" t="s">
        <v>1</v>
      </c>
      <c r="E39" s="19" t="s">
        <v>2</v>
      </c>
      <c r="F39" s="15" t="s">
        <v>89</v>
      </c>
      <c r="G39" s="17" t="s">
        <v>90</v>
      </c>
      <c r="H39" s="6" t="s">
        <v>104</v>
      </c>
      <c r="I39" s="56"/>
      <c r="J39" s="57"/>
    </row>
    <row r="40" spans="2:10" ht="12.75">
      <c r="B40" s="64" t="s">
        <v>33</v>
      </c>
      <c r="C40" s="65">
        <f>C33/2</f>
        <v>893063.0437954514</v>
      </c>
      <c r="D40" s="66">
        <f aca="true" t="shared" si="0" ref="C40:E42">D33/2</f>
        <v>616114.8706506164</v>
      </c>
      <c r="E40" s="67">
        <f>E33/2</f>
        <v>49815.830656612125</v>
      </c>
      <c r="F40" s="81">
        <f>100-((C40/C4)*100)</f>
        <v>-17.508295236243598</v>
      </c>
      <c r="G40" s="82">
        <f aca="true" t="shared" si="1" ref="F40:H42">100-((D40/D4)*100)</f>
        <v>18.932253861761012</v>
      </c>
      <c r="H40" s="83">
        <f>100-((E40/E4)*100)</f>
        <v>-74.35802266848245</v>
      </c>
      <c r="J40" s="57"/>
    </row>
    <row r="41" spans="2:9" ht="12.75">
      <c r="B41" s="64" t="s">
        <v>34</v>
      </c>
      <c r="C41" s="65">
        <f t="shared" si="0"/>
        <v>208404.24063283295</v>
      </c>
      <c r="D41" s="66">
        <f t="shared" si="0"/>
        <v>172422.56625646344</v>
      </c>
      <c r="E41" s="67">
        <f t="shared" si="0"/>
        <v>7436.6447564622895</v>
      </c>
      <c r="F41" s="81">
        <f t="shared" si="1"/>
        <v>-27.136223711785462</v>
      </c>
      <c r="G41" s="82">
        <f t="shared" si="1"/>
        <v>-5.185738495420651</v>
      </c>
      <c r="H41" s="83">
        <f t="shared" si="1"/>
        <v>-20.665986637389082</v>
      </c>
      <c r="I41" s="57" t="s">
        <v>93</v>
      </c>
    </row>
    <row r="42" spans="2:8" ht="12.75">
      <c r="B42" s="64" t="s">
        <v>35</v>
      </c>
      <c r="C42" s="65">
        <f t="shared" si="0"/>
        <v>26956.264633606464</v>
      </c>
      <c r="D42" s="66">
        <f t="shared" si="0"/>
        <v>40597.10153070772</v>
      </c>
      <c r="E42" s="67">
        <f t="shared" si="0"/>
        <v>1047.1860363434628</v>
      </c>
      <c r="F42" s="81">
        <f>100-((C42/(C6))*100)</f>
        <v>39.647901861398275</v>
      </c>
      <c r="G42" s="82">
        <f>100-((D42/(D6))*100)</f>
        <v>9.107575213908618</v>
      </c>
      <c r="H42" s="83">
        <f t="shared" si="1"/>
        <v>37.63037305875743</v>
      </c>
    </row>
    <row r="44" spans="7:11" ht="12.75">
      <c r="G44" s="77"/>
      <c r="I44" s="77"/>
      <c r="J44" s="77"/>
      <c r="K44" s="77"/>
    </row>
    <row r="45" spans="7:11" ht="12.75">
      <c r="G45" s="77"/>
      <c r="I45" s="77"/>
      <c r="J45" s="77"/>
      <c r="K45" s="77"/>
    </row>
    <row r="46" spans="7:11" ht="12.75">
      <c r="G46" s="77"/>
      <c r="I46" s="77"/>
      <c r="J46" s="77"/>
      <c r="K46" s="77"/>
    </row>
  </sheetData>
  <mergeCells count="14">
    <mergeCell ref="I2:K2"/>
    <mergeCell ref="I3:J3"/>
    <mergeCell ref="I4:J4"/>
    <mergeCell ref="C2:G2"/>
    <mergeCell ref="M2:P2"/>
    <mergeCell ref="N3:P3"/>
    <mergeCell ref="N4:P4"/>
    <mergeCell ref="N5:P5"/>
    <mergeCell ref="C31:H31"/>
    <mergeCell ref="C38:H38"/>
    <mergeCell ref="C23:K23"/>
    <mergeCell ref="M9:P9"/>
    <mergeCell ref="C9:K9"/>
    <mergeCell ref="C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14.7109375" style="0" customWidth="1"/>
    <col min="3" max="11" width="12.00390625" style="0" bestFit="1" customWidth="1"/>
    <col min="12" max="12" width="9.421875" style="0" bestFit="1" customWidth="1"/>
    <col min="13" max="13" width="31.8515625" style="0" bestFit="1" customWidth="1"/>
    <col min="14" max="14" width="9.57421875" style="0" bestFit="1" customWidth="1"/>
    <col min="15" max="15" width="9.7109375" style="0" bestFit="1" customWidth="1"/>
    <col min="16" max="17" width="9.00390625" style="0" bestFit="1" customWidth="1"/>
  </cols>
  <sheetData>
    <row r="2" spans="2:17" ht="18">
      <c r="B2" s="10"/>
      <c r="C2" s="93" t="s">
        <v>59</v>
      </c>
      <c r="D2" s="93"/>
      <c r="E2" s="93"/>
      <c r="F2" s="93"/>
      <c r="G2" s="93"/>
      <c r="H2" s="93"/>
      <c r="I2" s="93"/>
      <c r="J2" s="93"/>
      <c r="K2" s="93"/>
      <c r="N2" s="101" t="s">
        <v>46</v>
      </c>
      <c r="O2" s="101"/>
      <c r="P2" s="101"/>
      <c r="Q2" s="101"/>
    </row>
    <row r="3" spans="2:17" ht="13.5" thickBot="1">
      <c r="B3" s="10"/>
      <c r="C3" s="109" t="s">
        <v>0</v>
      </c>
      <c r="D3" s="109"/>
      <c r="E3" s="109"/>
      <c r="F3" s="110" t="s">
        <v>1</v>
      </c>
      <c r="G3" s="110"/>
      <c r="H3" s="110"/>
      <c r="I3" s="111" t="s">
        <v>2</v>
      </c>
      <c r="J3" s="111"/>
      <c r="K3" s="111"/>
      <c r="N3" s="29" t="s">
        <v>32</v>
      </c>
      <c r="O3" s="29" t="s">
        <v>27</v>
      </c>
      <c r="P3" s="29" t="s">
        <v>48</v>
      </c>
      <c r="Q3" s="29" t="s">
        <v>47</v>
      </c>
    </row>
    <row r="4" spans="2:17" ht="13.5" thickBot="1">
      <c r="B4" s="13"/>
      <c r="C4" s="15" t="s">
        <v>42</v>
      </c>
      <c r="D4" s="15" t="s">
        <v>43</v>
      </c>
      <c r="E4" s="15" t="s">
        <v>44</v>
      </c>
      <c r="F4" s="17" t="s">
        <v>42</v>
      </c>
      <c r="G4" s="17" t="s">
        <v>43</v>
      </c>
      <c r="H4" s="17" t="s">
        <v>44</v>
      </c>
      <c r="I4" s="19" t="s">
        <v>42</v>
      </c>
      <c r="J4" s="19" t="s">
        <v>43</v>
      </c>
      <c r="K4" s="19" t="s">
        <v>44</v>
      </c>
      <c r="N4" s="16" t="s">
        <v>0</v>
      </c>
      <c r="O4" s="23">
        <v>0.908379705</v>
      </c>
      <c r="P4" s="24">
        <v>274293000000</v>
      </c>
      <c r="Q4" s="16">
        <v>0.010973</v>
      </c>
    </row>
    <row r="5" spans="2:17" ht="12.75">
      <c r="B5" s="12" t="s">
        <v>36</v>
      </c>
      <c r="C5" s="21">
        <v>26.091729549078956</v>
      </c>
      <c r="D5" s="21">
        <v>26.002185687448836</v>
      </c>
      <c r="E5" s="21">
        <v>25.872225610402968</v>
      </c>
      <c r="F5" s="22">
        <v>21.51762727072578</v>
      </c>
      <c r="G5" s="22">
        <v>21.304093178897023</v>
      </c>
      <c r="H5" s="22">
        <v>21.36217493186496</v>
      </c>
      <c r="I5" s="28">
        <v>20.608792642094386</v>
      </c>
      <c r="J5" s="28">
        <v>20.48294308266608</v>
      </c>
      <c r="K5" s="28">
        <v>20.881129950531783</v>
      </c>
      <c r="N5" s="18" t="s">
        <v>1</v>
      </c>
      <c r="O5" s="25">
        <v>0.9501094478349859</v>
      </c>
      <c r="P5" s="26">
        <v>338060205405.02747</v>
      </c>
      <c r="Q5" s="18">
        <v>0.011023</v>
      </c>
    </row>
    <row r="6" spans="2:17" ht="12.75">
      <c r="B6" s="12" t="s">
        <v>37</v>
      </c>
      <c r="C6" s="21">
        <v>14.391472589018845</v>
      </c>
      <c r="D6" s="21">
        <v>14.102111216646648</v>
      </c>
      <c r="E6" s="21">
        <v>14.428848157267648</v>
      </c>
      <c r="F6" s="22">
        <v>14.975993166475961</v>
      </c>
      <c r="G6" s="22">
        <v>15.028428962779481</v>
      </c>
      <c r="H6" s="22">
        <v>15.249421835962405</v>
      </c>
      <c r="I6" s="28">
        <v>23.961053007706386</v>
      </c>
      <c r="J6" s="28">
        <v>23.640750651194498</v>
      </c>
      <c r="K6" s="28">
        <v>23.308761378459657</v>
      </c>
      <c r="N6" s="20" t="s">
        <v>2</v>
      </c>
      <c r="O6" s="27">
        <v>0.9104558937418901</v>
      </c>
      <c r="P6" s="8">
        <v>228114836089.66876</v>
      </c>
      <c r="Q6" s="20">
        <v>0.00871</v>
      </c>
    </row>
    <row r="7" spans="2:11" ht="12.75">
      <c r="B7" s="12" t="s">
        <v>38</v>
      </c>
      <c r="C7" s="21">
        <v>26.22264195810772</v>
      </c>
      <c r="D7" s="21">
        <v>24.460450845828646</v>
      </c>
      <c r="E7" s="21">
        <v>26.924556925498955</v>
      </c>
      <c r="F7" s="22">
        <v>22.963270107232276</v>
      </c>
      <c r="G7" s="22">
        <v>22.929388016916704</v>
      </c>
      <c r="H7" s="22">
        <v>22.743019964360606</v>
      </c>
      <c r="I7" s="28">
        <v>23.270291338097596</v>
      </c>
      <c r="J7" s="28">
        <v>23.172554839763837</v>
      </c>
      <c r="K7" s="28">
        <v>22.950990004445593</v>
      </c>
    </row>
    <row r="8" spans="2:16" ht="12.75">
      <c r="B8" s="12" t="s">
        <v>118</v>
      </c>
      <c r="C8" s="21">
        <v>16.791238488154796</v>
      </c>
      <c r="D8" s="21">
        <v>16.31303466070091</v>
      </c>
      <c r="E8" s="21">
        <v>16.179001436116543</v>
      </c>
      <c r="F8" s="22">
        <v>16.257162427637954</v>
      </c>
      <c r="G8" s="22">
        <v>16.258833368922456</v>
      </c>
      <c r="H8" s="22">
        <v>16.60805340041427</v>
      </c>
      <c r="I8" s="28">
        <v>22.92543307219963</v>
      </c>
      <c r="J8" s="28">
        <v>22.965112357473036</v>
      </c>
      <c r="K8" s="28">
        <v>23.110062556397267</v>
      </c>
      <c r="M8" s="10" t="s">
        <v>49</v>
      </c>
      <c r="N8" s="11"/>
      <c r="O8" s="10"/>
      <c r="P8" s="10"/>
    </row>
    <row r="9" spans="2:16" ht="13.5" thickBot="1">
      <c r="B9" s="12" t="s">
        <v>119</v>
      </c>
      <c r="C9" s="21">
        <v>22.109594149301316</v>
      </c>
      <c r="D9" s="21">
        <v>21.789018995328192</v>
      </c>
      <c r="E9" s="21">
        <v>21.95683167552482</v>
      </c>
      <c r="F9" s="22">
        <v>21.037793416802</v>
      </c>
      <c r="G9" s="22">
        <v>21.24089264895978</v>
      </c>
      <c r="H9" s="22">
        <v>21.13978959258124</v>
      </c>
      <c r="I9" s="28">
        <v>21.81009615092907</v>
      </c>
      <c r="J9" s="28">
        <v>21.93027617194109</v>
      </c>
      <c r="K9" s="28">
        <v>21.698340941391006</v>
      </c>
      <c r="M9" s="14"/>
      <c r="N9" s="35" t="s">
        <v>0</v>
      </c>
      <c r="O9" s="37" t="s">
        <v>1</v>
      </c>
      <c r="P9" s="39" t="s">
        <v>2</v>
      </c>
    </row>
    <row r="10" spans="2:16" ht="12.75">
      <c r="B10" s="12" t="s">
        <v>41</v>
      </c>
      <c r="C10" s="21">
        <v>19.74683270253445</v>
      </c>
      <c r="D10" s="21">
        <v>19.616348433892036</v>
      </c>
      <c r="E10" s="21">
        <v>19.37438385532279</v>
      </c>
      <c r="F10" s="22">
        <v>19.311290105364538</v>
      </c>
      <c r="G10" s="22">
        <v>18.091726479663595</v>
      </c>
      <c r="H10" s="22">
        <v>18.744579079382557</v>
      </c>
      <c r="I10" s="28">
        <v>18.003078524582854</v>
      </c>
      <c r="J10" s="28">
        <v>17.71814378955161</v>
      </c>
      <c r="K10" s="28">
        <v>18.375184274051797</v>
      </c>
      <c r="M10" s="12" t="s">
        <v>45</v>
      </c>
      <c r="N10" s="36">
        <f>4176000/(e2nt/(1+e2eff)^MEDIAN(C10:E10))</f>
        <v>4.87712701579535</v>
      </c>
      <c r="O10" s="38">
        <f>4176000/(e6nt/(1+e6eff)^MEDIAN(F10:H10))</f>
        <v>3.379092237037658</v>
      </c>
      <c r="P10" s="40">
        <f>4176000/(hmbsnt/(1+hmbseff)^MEDIAN(I10:K10))</f>
        <v>2.1083306759811062</v>
      </c>
    </row>
    <row r="11" spans="2:16" ht="12.75">
      <c r="B11" s="12" t="s">
        <v>41</v>
      </c>
      <c r="C11" s="21">
        <v>14.918263602805743</v>
      </c>
      <c r="D11" s="21">
        <v>15.244549222679003</v>
      </c>
      <c r="E11" s="21">
        <v>12.239741477992784</v>
      </c>
      <c r="F11" s="22">
        <v>15.073376564940471</v>
      </c>
      <c r="G11" s="22">
        <v>15.162191711149896</v>
      </c>
      <c r="H11" s="22">
        <v>15.40496381197816</v>
      </c>
      <c r="I11" s="28">
        <v>13.487924173388265</v>
      </c>
      <c r="J11" s="28">
        <v>13.226802374740819</v>
      </c>
      <c r="K11" s="28">
        <v>15.775850220199203</v>
      </c>
      <c r="M11" s="12" t="s">
        <v>120</v>
      </c>
      <c r="N11" s="23">
        <f>4176000/(e2nt/(1+e2eff)^MEDIAN(C11:E11))</f>
        <v>0.23419470772510279</v>
      </c>
      <c r="O11" s="25">
        <f>4176000/(e6nt/(1+e6eff)^MEDIAN(F11:H11))</f>
        <v>0.308813585500482</v>
      </c>
      <c r="P11" s="27">
        <f>4176000/(hmbsnt/(1+hmbseff)^MEDIAN(I11:K11))</f>
        <v>0.11338659355721648</v>
      </c>
    </row>
    <row r="13" spans="2:11" ht="18">
      <c r="B13" s="11"/>
      <c r="C13" s="93" t="s">
        <v>58</v>
      </c>
      <c r="D13" s="93"/>
      <c r="E13" s="93"/>
      <c r="F13" s="93"/>
      <c r="G13" s="93"/>
      <c r="H13" s="93"/>
      <c r="I13" s="93"/>
      <c r="J13" s="93"/>
      <c r="K13" s="93"/>
    </row>
    <row r="14" spans="2:11" ht="12.75">
      <c r="B14" s="11"/>
      <c r="C14" s="109" t="s">
        <v>0</v>
      </c>
      <c r="D14" s="109"/>
      <c r="E14" s="109"/>
      <c r="F14" s="110" t="s">
        <v>1</v>
      </c>
      <c r="G14" s="110"/>
      <c r="H14" s="110"/>
      <c r="I14" s="111" t="s">
        <v>2</v>
      </c>
      <c r="J14" s="111"/>
      <c r="K14" s="111"/>
    </row>
    <row r="15" spans="2:11" ht="13.5" thickBot="1">
      <c r="B15" s="14"/>
      <c r="C15" s="15" t="s">
        <v>42</v>
      </c>
      <c r="D15" s="15" t="s">
        <v>43</v>
      </c>
      <c r="E15" s="15" t="s">
        <v>44</v>
      </c>
      <c r="F15" s="17" t="s">
        <v>42</v>
      </c>
      <c r="G15" s="17" t="s">
        <v>43</v>
      </c>
      <c r="H15" s="17" t="s">
        <v>44</v>
      </c>
      <c r="I15" s="19" t="s">
        <v>42</v>
      </c>
      <c r="J15" s="19" t="s">
        <v>43</v>
      </c>
      <c r="K15" s="19" t="s">
        <v>44</v>
      </c>
    </row>
    <row r="16" spans="2:11" ht="12.75">
      <c r="B16" s="12" t="s">
        <v>36</v>
      </c>
      <c r="C16" s="16">
        <v>26.23402167134894</v>
      </c>
      <c r="D16" s="16">
        <v>25.957055282915537</v>
      </c>
      <c r="E16" s="16">
        <v>25.4564259998975</v>
      </c>
      <c r="F16" s="18">
        <v>25.854703322736853</v>
      </c>
      <c r="G16" s="18">
        <v>25.929630156331587</v>
      </c>
      <c r="H16" s="18">
        <v>25.816319518174364</v>
      </c>
      <c r="I16" s="20">
        <v>20.209147359051304</v>
      </c>
      <c r="J16" s="20">
        <v>20.207502507338788</v>
      </c>
      <c r="K16" s="20">
        <v>20.192517291699385</v>
      </c>
    </row>
    <row r="17" spans="2:11" ht="12.75">
      <c r="B17" s="12" t="s">
        <v>37</v>
      </c>
      <c r="C17" s="16">
        <v>14.544926254704606</v>
      </c>
      <c r="D17" s="16">
        <v>14.018998749844814</v>
      </c>
      <c r="E17" s="16">
        <v>14.386541400404225</v>
      </c>
      <c r="F17" s="18">
        <v>15.01361688308293</v>
      </c>
      <c r="G17" s="18">
        <v>15.076841280899242</v>
      </c>
      <c r="H17" s="18">
        <v>15.095244348704766</v>
      </c>
      <c r="I17" s="20">
        <v>24.423141958969715</v>
      </c>
      <c r="J17" s="20">
        <v>23.820072603970733</v>
      </c>
      <c r="K17" s="20">
        <v>23.916999463031512</v>
      </c>
    </row>
    <row r="18" spans="2:11" ht="12.75">
      <c r="B18" s="12" t="s">
        <v>38</v>
      </c>
      <c r="C18" s="16">
        <v>26.15904004202571</v>
      </c>
      <c r="D18" s="16">
        <v>26.137465681629823</v>
      </c>
      <c r="E18" s="16">
        <v>26.5196030060818</v>
      </c>
      <c r="F18" s="18">
        <v>22.82350328635449</v>
      </c>
      <c r="G18" s="18">
        <v>22.71948697138377</v>
      </c>
      <c r="H18" s="18">
        <v>22.654170146833117</v>
      </c>
      <c r="I18" s="20">
        <v>23.314115665743483</v>
      </c>
      <c r="J18" s="20">
        <v>23.317744227932774</v>
      </c>
      <c r="K18" s="20">
        <v>23.14370198678721</v>
      </c>
    </row>
    <row r="19" spans="2:16" ht="12.75">
      <c r="B19" s="12" t="s">
        <v>118</v>
      </c>
      <c r="C19" s="16">
        <v>16.917177843288446</v>
      </c>
      <c r="D19" s="16">
        <v>16.629975390319736</v>
      </c>
      <c r="E19" s="16">
        <v>16.582522439671877</v>
      </c>
      <c r="F19" s="18">
        <v>16.164216975014835</v>
      </c>
      <c r="G19" s="18">
        <v>16.36583781278221</v>
      </c>
      <c r="H19" s="18">
        <v>16.402306304716085</v>
      </c>
      <c r="I19" s="20">
        <v>22.85032673497443</v>
      </c>
      <c r="J19" s="20">
        <v>22.99992710215604</v>
      </c>
      <c r="K19" s="20">
        <v>22.64672717820243</v>
      </c>
      <c r="M19" s="11" t="s">
        <v>49</v>
      </c>
      <c r="N19" s="11"/>
      <c r="O19" s="11"/>
      <c r="P19" s="11"/>
    </row>
    <row r="20" spans="2:16" ht="13.5" thickBot="1">
      <c r="B20" s="12" t="s">
        <v>119</v>
      </c>
      <c r="C20" s="16">
        <v>22.048215088639218</v>
      </c>
      <c r="D20" s="16">
        <v>21.912953077660692</v>
      </c>
      <c r="E20" s="16">
        <v>21.94115744136797</v>
      </c>
      <c r="F20" s="18">
        <v>21.39720292899737</v>
      </c>
      <c r="G20" s="18">
        <v>21.36722627809141</v>
      </c>
      <c r="H20" s="18">
        <v>21.654444490472933</v>
      </c>
      <c r="I20" s="20">
        <v>21.735393903898668</v>
      </c>
      <c r="J20" s="20">
        <v>21.438037908802333</v>
      </c>
      <c r="K20" s="20">
        <v>21.821884798262285</v>
      </c>
      <c r="M20" s="14"/>
      <c r="N20" s="35" t="s">
        <v>0</v>
      </c>
      <c r="O20" s="37" t="s">
        <v>1</v>
      </c>
      <c r="P20" s="39" t="s">
        <v>2</v>
      </c>
    </row>
    <row r="21" spans="2:16" ht="12.75">
      <c r="B21" s="12" t="s">
        <v>41</v>
      </c>
      <c r="C21" s="16">
        <v>19.52140728442228</v>
      </c>
      <c r="D21" s="16">
        <v>19.232278174980674</v>
      </c>
      <c r="E21" s="16">
        <v>19.992945647395587</v>
      </c>
      <c r="F21" s="18">
        <v>19.182238400114635</v>
      </c>
      <c r="G21" s="18">
        <v>18.275762493657012</v>
      </c>
      <c r="H21" s="18">
        <v>19.184200600031307</v>
      </c>
      <c r="I21" s="20">
        <v>18.038370351412695</v>
      </c>
      <c r="J21" s="20">
        <v>18.01281136510584</v>
      </c>
      <c r="K21" s="20">
        <v>18.216447421077355</v>
      </c>
      <c r="M21" s="12" t="s">
        <v>45</v>
      </c>
      <c r="N21" s="23">
        <f>4176000/(e2nt/(1+e2eff)^MEDIAN(C21:E21))</f>
        <v>4.586880527778346</v>
      </c>
      <c r="O21" s="25">
        <f>4176000/(e6nt/(1+e6eff)^MEDIAN(F21:H21))</f>
        <v>4.526338877528275</v>
      </c>
      <c r="P21" s="27">
        <f>4176000/(hmbsnt/(1+hmbseff)^MEDIAN(I21:K21))</f>
        <v>2.157051760893268</v>
      </c>
    </row>
    <row r="22" spans="2:16" ht="12.75">
      <c r="B22" s="12" t="s">
        <v>41</v>
      </c>
      <c r="C22" s="16">
        <v>14.822577959629687</v>
      </c>
      <c r="D22" s="16">
        <v>14.915823642815205</v>
      </c>
      <c r="E22" s="16">
        <v>15.051570029074687</v>
      </c>
      <c r="F22" s="18">
        <v>14.642399336874114</v>
      </c>
      <c r="G22" s="18">
        <v>15.115083948889591</v>
      </c>
      <c r="H22" s="18">
        <v>15.845090358769449</v>
      </c>
      <c r="I22" s="20">
        <v>15.205613903903611</v>
      </c>
      <c r="J22" s="20">
        <v>15.113301945099352</v>
      </c>
      <c r="K22" s="20">
        <v>15.05169132100481</v>
      </c>
      <c r="M22" s="12" t="s">
        <v>120</v>
      </c>
      <c r="N22" s="23">
        <f>4176000/(e2nt/(1+e2eff)^MEDIAN(C22:E22))</f>
        <v>0.23382571224886423</v>
      </c>
      <c r="O22" s="25">
        <f>4176000/(e6nt/(1+e6eff)^MEDIAN(F22:H22))</f>
        <v>0.2992487658895006</v>
      </c>
      <c r="P22" s="27">
        <f>4176000/(hmbsnt/(1+hmbseff)^MEDIAN(I22:K22))</f>
        <v>0.3247248794117345</v>
      </c>
    </row>
    <row r="24" spans="2:11" ht="18">
      <c r="B24" s="11"/>
      <c r="C24" s="93" t="s">
        <v>57</v>
      </c>
      <c r="D24" s="93"/>
      <c r="E24" s="93"/>
      <c r="F24" s="93"/>
      <c r="G24" s="93"/>
      <c r="H24" s="93"/>
      <c r="I24" s="93"/>
      <c r="J24" s="93"/>
      <c r="K24" s="93"/>
    </row>
    <row r="25" spans="2:11" ht="12.75">
      <c r="B25" s="11"/>
      <c r="C25" s="109" t="s">
        <v>0</v>
      </c>
      <c r="D25" s="109"/>
      <c r="E25" s="109"/>
      <c r="F25" s="110" t="s">
        <v>1</v>
      </c>
      <c r="G25" s="110"/>
      <c r="H25" s="110"/>
      <c r="I25" s="111" t="s">
        <v>2</v>
      </c>
      <c r="J25" s="111"/>
      <c r="K25" s="111"/>
    </row>
    <row r="26" spans="2:11" ht="13.5" thickBot="1">
      <c r="B26" s="14"/>
      <c r="C26" s="15" t="s">
        <v>42</v>
      </c>
      <c r="D26" s="15" t="s">
        <v>43</v>
      </c>
      <c r="E26" s="15" t="s">
        <v>44</v>
      </c>
      <c r="F26" s="17" t="s">
        <v>42</v>
      </c>
      <c r="G26" s="17" t="s">
        <v>43</v>
      </c>
      <c r="H26" s="17" t="s">
        <v>44</v>
      </c>
      <c r="I26" s="19" t="s">
        <v>42</v>
      </c>
      <c r="J26" s="19" t="s">
        <v>43</v>
      </c>
      <c r="K26" s="19" t="s">
        <v>44</v>
      </c>
    </row>
    <row r="27" spans="2:11" ht="12.75">
      <c r="B27" s="12" t="s">
        <v>36</v>
      </c>
      <c r="C27" s="16">
        <v>31.376901124611006</v>
      </c>
      <c r="D27" s="16">
        <v>31.23316956391108</v>
      </c>
      <c r="E27" s="16">
        <v>31.15907182752712</v>
      </c>
      <c r="F27" s="18">
        <v>31.1871971861974</v>
      </c>
      <c r="G27" s="18">
        <v>31.032006835901274</v>
      </c>
      <c r="H27" s="18">
        <v>31.18222417807306</v>
      </c>
      <c r="I27" s="20">
        <v>19.208473784024022</v>
      </c>
      <c r="J27" s="20">
        <v>19.244198051617875</v>
      </c>
      <c r="K27" s="20">
        <v>19.234378474987857</v>
      </c>
    </row>
    <row r="28" spans="2:11" ht="12.75">
      <c r="B28" s="12" t="s">
        <v>37</v>
      </c>
      <c r="C28" s="16">
        <v>13.94056922751924</v>
      </c>
      <c r="D28" s="16">
        <v>13.529513534564574</v>
      </c>
      <c r="E28" s="16">
        <v>14.217084312954958</v>
      </c>
      <c r="F28" s="18">
        <v>14.357631985047602</v>
      </c>
      <c r="G28" s="18">
        <v>14.438333584055068</v>
      </c>
      <c r="H28" s="18">
        <v>14.604091544951316</v>
      </c>
      <c r="I28" s="20">
        <v>23.374055957267448</v>
      </c>
      <c r="J28" s="20">
        <v>22.945636801091883</v>
      </c>
      <c r="K28" s="20">
        <v>22.850132457050886</v>
      </c>
    </row>
    <row r="29" spans="2:11" ht="12.75">
      <c r="B29" s="12" t="s">
        <v>38</v>
      </c>
      <c r="C29" s="16">
        <v>25.923451008672195</v>
      </c>
      <c r="D29" s="16">
        <v>25.546568218737825</v>
      </c>
      <c r="E29" s="16">
        <v>26.18286038033914</v>
      </c>
      <c r="F29" s="18">
        <v>22.12631150756065</v>
      </c>
      <c r="G29" s="18">
        <v>22.025387934135914</v>
      </c>
      <c r="H29" s="18">
        <v>21.98380496220606</v>
      </c>
      <c r="I29" s="20">
        <v>22.257331599349442</v>
      </c>
      <c r="J29" s="20">
        <v>22.246280627162683</v>
      </c>
      <c r="K29" s="20">
        <v>22.005939283491877</v>
      </c>
    </row>
    <row r="30" spans="2:16" ht="12.75">
      <c r="B30" s="12" t="s">
        <v>118</v>
      </c>
      <c r="C30" s="16">
        <v>15.79261349544964</v>
      </c>
      <c r="D30" s="16">
        <v>15.71610172984692</v>
      </c>
      <c r="E30" s="16">
        <v>16.31282337521233</v>
      </c>
      <c r="F30" s="18">
        <v>15.982685292069178</v>
      </c>
      <c r="G30" s="18">
        <v>15.688118066524922</v>
      </c>
      <c r="H30" s="18">
        <v>15.399372379002891</v>
      </c>
      <c r="I30" s="20">
        <v>21.77624629155942</v>
      </c>
      <c r="J30" s="20">
        <v>21.805270919570383</v>
      </c>
      <c r="K30" s="20">
        <v>21.854945166189523</v>
      </c>
      <c r="M30" s="11" t="s">
        <v>49</v>
      </c>
      <c r="N30" s="11"/>
      <c r="O30" s="11"/>
      <c r="P30" s="11"/>
    </row>
    <row r="31" spans="2:16" ht="13.5" thickBot="1">
      <c r="B31" s="12" t="s">
        <v>119</v>
      </c>
      <c r="C31" s="43">
        <v>18.457414462840607</v>
      </c>
      <c r="D31" s="43">
        <v>19.52883989828198</v>
      </c>
      <c r="E31" s="43">
        <v>17.478818625590858</v>
      </c>
      <c r="F31" s="18">
        <v>22.158873046646153</v>
      </c>
      <c r="G31" s="18">
        <v>22.045280919599417</v>
      </c>
      <c r="H31" s="18">
        <v>20.377155102017458</v>
      </c>
      <c r="I31" s="20">
        <v>17.020614900997696</v>
      </c>
      <c r="J31" s="20">
        <v>17.23789240591044</v>
      </c>
      <c r="K31" s="20">
        <v>23.977121733486864</v>
      </c>
      <c r="M31" s="14"/>
      <c r="N31" s="35" t="s">
        <v>0</v>
      </c>
      <c r="O31" s="37" t="s">
        <v>1</v>
      </c>
      <c r="P31" s="39" t="s">
        <v>2</v>
      </c>
    </row>
    <row r="32" spans="2:16" ht="12.75">
      <c r="B32" s="12" t="s">
        <v>41</v>
      </c>
      <c r="C32" s="16">
        <v>20.346638656876756</v>
      </c>
      <c r="D32" s="16">
        <v>20.305902201891914</v>
      </c>
      <c r="E32" s="16">
        <v>20.295759479108447</v>
      </c>
      <c r="F32" s="18">
        <v>19.49992754781495</v>
      </c>
      <c r="G32" s="18">
        <v>18.73834915086077</v>
      </c>
      <c r="H32" s="18">
        <v>18.680272088391654</v>
      </c>
      <c r="I32" s="20">
        <v>18.710290710374725</v>
      </c>
      <c r="J32" s="20">
        <v>18.484010813501996</v>
      </c>
      <c r="K32" s="20">
        <v>18.297856757467464</v>
      </c>
      <c r="M32" s="12" t="s">
        <v>45</v>
      </c>
      <c r="N32" s="23">
        <f>4176000/(e2nt/(1+e2eff)^MEDIAN(C32:E32))</f>
        <v>7.615484335813807</v>
      </c>
      <c r="O32" s="25">
        <f>4176000/(e6nt/(1+e6eff)^MEDIAN(F32:H32))</f>
        <v>3.3650614538383246</v>
      </c>
      <c r="P32" s="27">
        <f>4176000/(hmbsnt/(1+hmbseff)^MEDIAN(I32:K32))</f>
        <v>2.878369845118339</v>
      </c>
    </row>
    <row r="33" spans="2:16" ht="12.75">
      <c r="B33" s="12" t="s">
        <v>41</v>
      </c>
      <c r="C33" s="16">
        <v>15.680230222425434</v>
      </c>
      <c r="D33" s="16">
        <v>16.165805456803696</v>
      </c>
      <c r="E33" s="16">
        <v>15.786568155410514</v>
      </c>
      <c r="F33" s="18">
        <v>15.266345899094624</v>
      </c>
      <c r="G33" s="18">
        <v>14.938161294087658</v>
      </c>
      <c r="H33" s="18">
        <v>15.463898799437288</v>
      </c>
      <c r="I33" s="20">
        <v>15.270280383922465</v>
      </c>
      <c r="J33" s="20">
        <v>15.142596981050833</v>
      </c>
      <c r="K33" s="20">
        <v>16.308691614248055</v>
      </c>
      <c r="M33" s="12" t="s">
        <v>120</v>
      </c>
      <c r="N33" s="23">
        <f>4176000/(e2nt/(1+e2eff)^MEDIAN(C33:E33))</f>
        <v>0.41046827014895</v>
      </c>
      <c r="O33" s="25">
        <f>4176000/(e6nt/(1+e6eff)^MEDIAN(F33:H33))</f>
        <v>0.33106041565981137</v>
      </c>
      <c r="P33" s="27">
        <f>4176000/(hmbsnt/(1+hmbseff)^MEDIAN(I33:K33))</f>
        <v>0.3594578844694307</v>
      </c>
    </row>
    <row r="36" ht="12.75">
      <c r="A36" s="58" t="s">
        <v>85</v>
      </c>
    </row>
    <row r="37" spans="2:10" ht="18">
      <c r="B37" s="12"/>
      <c r="C37" s="93" t="s">
        <v>103</v>
      </c>
      <c r="D37" s="93"/>
      <c r="E37" s="93"/>
      <c r="F37" s="93"/>
      <c r="G37" s="93"/>
      <c r="H37" s="93"/>
      <c r="I37" s="93"/>
      <c r="J37" s="93"/>
    </row>
    <row r="38" spans="2:10" ht="13.5" thickBot="1">
      <c r="B38" s="14"/>
      <c r="C38" s="15" t="s">
        <v>0</v>
      </c>
      <c r="D38" s="17" t="s">
        <v>1</v>
      </c>
      <c r="E38" s="19" t="s">
        <v>39</v>
      </c>
      <c r="F38" s="15" t="s">
        <v>55</v>
      </c>
      <c r="G38" s="17" t="s">
        <v>56</v>
      </c>
      <c r="H38" s="6" t="s">
        <v>40</v>
      </c>
      <c r="I38" s="19" t="s">
        <v>50</v>
      </c>
      <c r="J38" s="33" t="s">
        <v>51</v>
      </c>
    </row>
    <row r="39" spans="2:10" ht="12.75">
      <c r="B39" s="12" t="s">
        <v>36</v>
      </c>
      <c r="C39" s="30">
        <f>AVERAGE(e2nt/(1+e2eff)^MEDIAN(C5:E5)*N11,e2nt/(1+e2eff)^MEDIAN(C16:E16)*N22,e2nt/(1+e2eff)^MEDIAN(C27:E27)*N33)</f>
        <v>2251.2457667114195</v>
      </c>
      <c r="D39" s="31">
        <f>AVERAGE(e6nt/(1+e6eff)^MEDIAN(F5:H5)*O$11,e6nt/(1+e6eff)^MEDIAN(F16:H16)*O$22,e6nt/(1+e6eff)^MEDIAN(F27:H27)*O$33)</f>
        <v>23246.66080264011</v>
      </c>
      <c r="E39" s="32">
        <f>AVERAGE(hmbsnt/(1+hmbseff)^MEDIAN(I5:K5)*P$11,hmbsnt/(1+hmbseff)^MEDIAN(I16:K16)*P$22,hmbsnt/(1+hmbseff)^MEDIAN(I27:K27)*P$33)/2</f>
        <v>86134.50970747731</v>
      </c>
      <c r="F39" s="42">
        <f>C39/E39</f>
        <v>0.026136397297168216</v>
      </c>
      <c r="G39" s="41">
        <f>D39/E39</f>
        <v>0.2698878867667378</v>
      </c>
      <c r="H39" s="4">
        <f>C39/D39</f>
        <v>0.09684168344968266</v>
      </c>
      <c r="I39" s="20" t="s">
        <v>52</v>
      </c>
      <c r="J39" s="34">
        <v>0</v>
      </c>
    </row>
    <row r="40" spans="2:10" ht="12.75">
      <c r="B40" s="12" t="s">
        <v>37</v>
      </c>
      <c r="C40" s="30">
        <f>AVERAGE(e2nt/(1+e2eff)^MEDIAN(C6:E6)*N10,e2nt/(1+e2eff)^MEDIAN(C17:E17)*N21,e2nt/(1+e2eff)^MEDIAN(C28:E28)*N32)</f>
        <v>164334126.57492146</v>
      </c>
      <c r="D40" s="31">
        <f>AVERAGE(e6nt/(1+e6eff)^MEDIAN(F6:H6)*O$10,e6nt/(1+e6eff)^MEDIAN(F17:H17)*O$21,e6nt/(1+e6eff)^MEDIAN(F28:H28)*O$32)</f>
        <v>62852404.00017595</v>
      </c>
      <c r="E40" s="32">
        <f>AVERAGE(hmbsnt/(1+hmbseff)^MEDIAN(I6:K6)*P$10,hmbsnt/(1+hmbseff)^MEDIAN(I17:K17)*P$21,hmbsnt/(1+hmbseff)^MEDIAN(I28:K28)*P$32)/2</f>
        <v>72334.59997215781</v>
      </c>
      <c r="F40" s="42">
        <f>C40/E40</f>
        <v>2271.8605845359625</v>
      </c>
      <c r="G40" s="41">
        <f>D40/E40</f>
        <v>868.9120286055133</v>
      </c>
      <c r="H40" s="4">
        <f>C40/D40</f>
        <v>2.6146036764872416</v>
      </c>
      <c r="I40" s="20" t="s">
        <v>53</v>
      </c>
      <c r="J40" s="34">
        <f>D40/(E40/2)</f>
        <v>1737.8240572110267</v>
      </c>
    </row>
    <row r="41" spans="2:10" ht="12.75">
      <c r="B41" s="12" t="s">
        <v>38</v>
      </c>
      <c r="C41" s="30">
        <f>AVERAGE(e2nt/(1+e2eff)^MEDIAN(C7:E7)*N10,e2nt/(1+e2eff)^MEDIAN(C18:E18)*N21,e2nt/(1+e2eff)^MEDIAN(C29:E29)*N32)</f>
        <v>75457.23162734836</v>
      </c>
      <c r="D41" s="31">
        <f>AVERAGE(e6nt/(1+e6eff)^MEDIAN(F7:H7)*O$10,e6nt/(1+e6eff)^MEDIAN(F18:H18)*O$21,e6nt/(1+e6eff)^MEDIAN(F29:H29)*O$32)</f>
        <v>371136.44187052775</v>
      </c>
      <c r="E41" s="32">
        <f>AVERAGE(hmbsnt/(1+hmbseff)^MEDIAN(I7:K7)*P$10,hmbsnt/(1+hmbseff)^MEDIAN(I18:K18)*P$21,hmbsnt/(1+hmbseff)^MEDIAN(I29:K29)*P$32)/2</f>
        <v>108322.55657505554</v>
      </c>
      <c r="F41" s="42">
        <f>C41/E41</f>
        <v>0.6965975879184946</v>
      </c>
      <c r="G41" s="41">
        <f>D41/E41</f>
        <v>3.4262156803266666</v>
      </c>
      <c r="H41" s="4">
        <f>C41/D41</f>
        <v>0.2033139921454328</v>
      </c>
      <c r="I41" s="20" t="s">
        <v>54</v>
      </c>
      <c r="J41" s="34">
        <f>D41/((E41*2)/3)</f>
        <v>5.13932352049</v>
      </c>
    </row>
    <row r="42" spans="2:10" ht="12.75">
      <c r="B42" s="12" t="s">
        <v>118</v>
      </c>
      <c r="C42" s="30">
        <f>AVERAGE(e2nt/(1+e2eff)^MEDIAN(C8:E8)*N11,e2nt/(1+e2eff)^MEDIAN(C19:E19)*N22,e2nt/(1+e2eff)^MEDIAN(C30:E30)*N33)</f>
        <v>2411504.7767696516</v>
      </c>
      <c r="D42" s="31">
        <f>AVERAGE(e6nt/(1+e6eff)^MEDIAN(F8:H8)*O$11,e6nt/(1+e6eff)^MEDIAN(F19:H19)*O$22,e6nt/(1+e6eff)^MEDIAN(F30:H30)*O$33)</f>
        <v>2323192.8823343082</v>
      </c>
      <c r="E42" s="32">
        <f>AVERAGE(hmbsnt/(1+hmbseff)^MEDIAN(I8:K8)*P$11,hmbsnt/(1+hmbseff)^MEDIAN(I19:K19)*P$22,hmbsnt/(1+hmbseff)^MEDIAN(I30:K30)*P$33)/2</f>
        <v>16281.974732813367</v>
      </c>
      <c r="F42" s="42">
        <f>C42/E42</f>
        <v>148.10886371845922</v>
      </c>
      <c r="G42" s="41">
        <f>D42/E42</f>
        <v>142.68495808756748</v>
      </c>
      <c r="H42" s="4">
        <f>C42/D42</f>
        <v>1.0380131564222979</v>
      </c>
      <c r="I42" s="20" t="s">
        <v>52</v>
      </c>
      <c r="J42" s="34">
        <f>G42</f>
        <v>142.68495808756748</v>
      </c>
    </row>
    <row r="43" spans="2:10" ht="12.75">
      <c r="B43" s="12" t="s">
        <v>119</v>
      </c>
      <c r="C43" s="30">
        <f>AVERAGE(e2nt/(1+e2eff)^MEDIAN(C9:E9)*N11,e2nt/(1+e2eff)^MEDIAN(C20:E20)*N22)</f>
        <v>44375.51773550321</v>
      </c>
      <c r="D43" s="31">
        <f>AVERAGE(e6nt/(1+e6eff)^MEDIAN(F9:H9)*O$11,e6nt/(1+e6eff)^MEDIAN(F20:H20)*O$22,e6nt/(1+e6eff)^MEDIAN(F31:H31)*O$33)</f>
        <v>61697.64491334604</v>
      </c>
      <c r="E43" s="32">
        <f>AVERAGE(hmbsnt/(1+hmbseff)^MEDIAN(I9:K9)*P$11,hmbsnt/(1+hmbseff)^MEDIAN(I20:K20)*P$22,hmbsnt/(1+hmbseff)^MEDIAN(I31:K31)*P$33)/2</f>
        <v>207486.853114674</v>
      </c>
      <c r="F43" s="42">
        <f>C43/E43</f>
        <v>0.213871467369442</v>
      </c>
      <c r="G43" s="41">
        <f>D43/E43</f>
        <v>0.29735688785663417</v>
      </c>
      <c r="H43" s="4">
        <f>C43/D43</f>
        <v>0.7192416792865975</v>
      </c>
      <c r="I43" s="20" t="s">
        <v>53</v>
      </c>
      <c r="J43" s="34">
        <f>D43/(E43/2)</f>
        <v>0.5947137757132683</v>
      </c>
    </row>
    <row r="44" spans="6:7" ht="12.75">
      <c r="F44" s="79"/>
      <c r="G44" s="80"/>
    </row>
    <row r="45" spans="2:5" ht="12.75">
      <c r="B45" s="76"/>
      <c r="C45" s="76"/>
      <c r="D45" s="76"/>
      <c r="E45" s="76"/>
    </row>
    <row r="47" spans="2:7" ht="18">
      <c r="B47" s="11"/>
      <c r="C47" s="100" t="s">
        <v>102</v>
      </c>
      <c r="D47" s="100"/>
      <c r="E47" s="100"/>
      <c r="F47" s="100"/>
      <c r="G47" s="100"/>
    </row>
    <row r="48" spans="2:12" ht="13.5" thickBot="1">
      <c r="B48" s="14"/>
      <c r="C48" s="6" t="s">
        <v>99</v>
      </c>
      <c r="D48" s="6" t="s">
        <v>100</v>
      </c>
      <c r="E48" s="6" t="s">
        <v>101</v>
      </c>
      <c r="F48" s="6" t="s">
        <v>97</v>
      </c>
      <c r="G48" s="6" t="s">
        <v>98</v>
      </c>
      <c r="K48" s="89"/>
      <c r="L48" s="89"/>
    </row>
    <row r="49" spans="2:9" ht="12.75">
      <c r="B49" s="74" t="str">
        <f>B39</f>
        <v>C33A</v>
      </c>
      <c r="C49" s="4">
        <f>(e2nt/(1+e2eff)^MEDIAN($C$5:$E$5)*$N$11)/(e6nt/(1+e6eff)^MEDIAN($F$5:$H$5)*$O11)</f>
        <v>0.048696101239549504</v>
      </c>
      <c r="D49" s="4">
        <f>(e2nt/(1+e2eff)^MEDIAN($C$16:$E$16)*$N$22)/(e6nt/(1+e6eff)^MEDIAN($F$16:$H$16)*$O22)</f>
        <v>1.0380975290805814</v>
      </c>
      <c r="E49" s="4">
        <f>(e2nt/(1+e2eff)^MEDIAN($C$27:$E$27)*$N$33)/(e6nt/(1+e6eff)^MEDIAN($F$27:$H$27)*$O33)</f>
        <v>1.910849093057699</v>
      </c>
      <c r="F49" s="4">
        <f>MIN(C49,D49,E49)</f>
        <v>0.048696101239549504</v>
      </c>
      <c r="G49" s="4">
        <f>MAX(C49,D49,E49)</f>
        <v>1.910849093057699</v>
      </c>
      <c r="I49" s="77"/>
    </row>
    <row r="50" spans="2:9" ht="12.75">
      <c r="B50" s="74" t="str">
        <f>B40</f>
        <v>CaSki</v>
      </c>
      <c r="C50" s="4">
        <f>(e2nt/(1+e2eff)^MEDIAN($C$6:$E$6)*$N$10)/(e6nt/(1+e6eff)^MEDIAN($F$6:$H$6)*$O10)</f>
        <v>2.4464477360317525</v>
      </c>
      <c r="D50" s="4">
        <f>(e2nt/(1+e2eff)^MEDIAN($C$17:$E$17)*$N$22)/(e6nt/(1+e6eff)^MEDIAN($F$17:$H$17)*$O22)</f>
        <v>1.3723290588339343</v>
      </c>
      <c r="E50" s="4">
        <f>(e2nt/(1+e2eff)^MEDIAN($C$28:$E$28)*$N$32)/(e6nt/(1+e6eff)^MEDIAN($F$28:$H$28)*$O32)</f>
        <v>3.4615186958644824</v>
      </c>
      <c r="F50" s="4">
        <f>MIN(C50,D50,E50)</f>
        <v>1.3723290588339343</v>
      </c>
      <c r="G50" s="4">
        <f>MAX(C50,D50,E50)</f>
        <v>3.4615186958644824</v>
      </c>
      <c r="I50" s="77"/>
    </row>
    <row r="51" spans="2:9" ht="12.75">
      <c r="B51" s="74" t="str">
        <f>B41</f>
        <v>SiHa</v>
      </c>
      <c r="C51" s="4">
        <f>(e2nt/(1+e2eff)^MEDIAN($C$7:$E$7)*$N$10)/(e6nt/(1+e6eff)^MEDIAN($F$7:$H$7)*$O$10)</f>
        <v>0.22892196142508</v>
      </c>
      <c r="D51" s="4">
        <f>(e2nt/(1+e2eff)^MEDIAN($C$18:$E$18)*$N$22)/(e6nt/(1+e6eff)^MEDIAN($F$18:$H$18)*$O22)</f>
        <v>0.11224072687707348</v>
      </c>
      <c r="E51" s="4">
        <f>(e2nt/(1+e2eff)^MEDIAN($C$29:$E$29)*$N$32)/(e6nt/(1+e6eff)^MEDIAN($F$29:$H$29)*$O32)</f>
        <v>0.23811512647000993</v>
      </c>
      <c r="F51" s="4">
        <f>MIN(C51,D51,E51)</f>
        <v>0.11224072687707348</v>
      </c>
      <c r="G51" s="4">
        <f>MAX(C51,D51,E51)</f>
        <v>0.23811512647000993</v>
      </c>
      <c r="I51" s="77"/>
    </row>
    <row r="52" spans="2:9" ht="12.75">
      <c r="B52" s="74" t="str">
        <f>B42</f>
        <v>W12.Ser1p16</v>
      </c>
      <c r="C52" s="4">
        <f>(e2nt/(1+e2eff)^MEDIAN($C$8:E8)*$N$11)/(e6nt/(1+e6eff)^MEDIAN($F$8:H8)*$O$11)</f>
        <v>0.8445544265620493</v>
      </c>
      <c r="D52" s="4">
        <f>(e2nt/(1+e2eff)^MEDIAN($C$19:$E$19)*$N$22)/(e6nt/(1+e6eff)^MEDIAN($F$19:$H$19)*$O22)</f>
        <v>0.7615358603376321</v>
      </c>
      <c r="E52" s="4">
        <f>(e2nt/(1+e2eff)^MEDIAN($C$30:$E$30)*$N$33)/(e6nt/(1+e6eff)^MEDIAN($F$30:$H$30)*$O33)</f>
        <v>1.3202071888876958</v>
      </c>
      <c r="F52" s="4">
        <f>MIN(C52,D52,E52)</f>
        <v>0.7615358603376321</v>
      </c>
      <c r="G52" s="4">
        <f>MAX(C52,D52,E52)</f>
        <v>1.3202071888876958</v>
      </c>
      <c r="I52" s="77"/>
    </row>
    <row r="53" spans="2:9" ht="12.75">
      <c r="B53" s="74" t="str">
        <f>B43</f>
        <v>W12.Ser1p57</v>
      </c>
      <c r="C53" s="4">
        <f>(e2nt/(1+e2eff)^MEDIAN($C$9:$E$9)*$N$11)/(e6nt/(1+e6eff)^MEDIAN($F$9:$H$9)*$O$11)</f>
        <v>0.5732944759218</v>
      </c>
      <c r="D53" s="4">
        <f>(e2nt/(1+e2eff)^MEDIAN($C$20:$E$20)*$N$22)/(e6nt/(1+e6eff)^MEDIAN($F$20:$H$20)*$O22)</f>
        <v>0.708632771775349</v>
      </c>
      <c r="E53" s="75">
        <f>(e2nt/(1+e2eff)^MEDIAN($C$31:$D$31)*$N$33)/(e6nt/(1+e6eff)^MEDIAN($H$31)*$O33)</f>
        <v>3.82356012356028</v>
      </c>
      <c r="F53" s="4">
        <f>MIN(C53,D53,E53)</f>
        <v>0.5732944759218</v>
      </c>
      <c r="G53" s="4">
        <f>MAX(C53,D53)</f>
        <v>0.708632771775349</v>
      </c>
      <c r="I53" s="77"/>
    </row>
    <row r="56" spans="2:5" ht="12.75">
      <c r="B56" s="44" t="s">
        <v>121</v>
      </c>
      <c r="C56" s="43"/>
      <c r="D56" s="43"/>
      <c r="E56" s="43"/>
    </row>
  </sheetData>
  <mergeCells count="15">
    <mergeCell ref="C2:K2"/>
    <mergeCell ref="C13:K13"/>
    <mergeCell ref="C3:E3"/>
    <mergeCell ref="F3:H3"/>
    <mergeCell ref="I3:K3"/>
    <mergeCell ref="C47:G47"/>
    <mergeCell ref="N2:Q2"/>
    <mergeCell ref="C37:J37"/>
    <mergeCell ref="C14:E14"/>
    <mergeCell ref="F14:H14"/>
    <mergeCell ref="I14:K14"/>
    <mergeCell ref="C25:E25"/>
    <mergeCell ref="F25:H25"/>
    <mergeCell ref="I25:K25"/>
    <mergeCell ref="C24:K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421875" style="0" bestFit="1" customWidth="1"/>
    <col min="3" max="11" width="12.00390625" style="0" bestFit="1" customWidth="1"/>
    <col min="13" max="15" width="12.00390625" style="0" bestFit="1" customWidth="1"/>
    <col min="16" max="17" width="9.00390625" style="0" bestFit="1" customWidth="1"/>
  </cols>
  <sheetData>
    <row r="2" spans="2:17" ht="18">
      <c r="B2" s="11"/>
      <c r="C2" s="93" t="s">
        <v>60</v>
      </c>
      <c r="D2" s="93"/>
      <c r="E2" s="93"/>
      <c r="F2" s="93"/>
      <c r="G2" s="93"/>
      <c r="H2" s="93"/>
      <c r="I2" s="93"/>
      <c r="J2" s="93"/>
      <c r="K2" s="93"/>
      <c r="N2" s="101" t="s">
        <v>46</v>
      </c>
      <c r="O2" s="101"/>
      <c r="P2" s="101"/>
      <c r="Q2" s="101"/>
    </row>
    <row r="3" spans="2:17" ht="13.5" thickBot="1">
      <c r="B3" s="11"/>
      <c r="C3" s="109" t="s">
        <v>0</v>
      </c>
      <c r="D3" s="109"/>
      <c r="E3" s="109"/>
      <c r="F3" s="110" t="s">
        <v>1</v>
      </c>
      <c r="G3" s="110"/>
      <c r="H3" s="110"/>
      <c r="I3" s="111" t="s">
        <v>2</v>
      </c>
      <c r="J3" s="111"/>
      <c r="K3" s="111"/>
      <c r="N3" s="29" t="s">
        <v>32</v>
      </c>
      <c r="O3" s="29" t="s">
        <v>27</v>
      </c>
      <c r="P3" s="29" t="s">
        <v>48</v>
      </c>
      <c r="Q3" s="29" t="s">
        <v>47</v>
      </c>
    </row>
    <row r="4" spans="2:17" ht="13.5" thickBot="1">
      <c r="B4" s="14"/>
      <c r="C4" s="15" t="s">
        <v>42</v>
      </c>
      <c r="D4" s="15" t="s">
        <v>43</v>
      </c>
      <c r="E4" s="15" t="s">
        <v>44</v>
      </c>
      <c r="F4" s="17" t="s">
        <v>42</v>
      </c>
      <c r="G4" s="17" t="s">
        <v>43</v>
      </c>
      <c r="H4" s="17" t="s">
        <v>44</v>
      </c>
      <c r="I4" s="19" t="s">
        <v>42</v>
      </c>
      <c r="J4" s="19" t="s">
        <v>43</v>
      </c>
      <c r="K4" s="19" t="s">
        <v>44</v>
      </c>
      <c r="N4" s="16" t="s">
        <v>0</v>
      </c>
      <c r="O4" s="23">
        <v>0.908379705</v>
      </c>
      <c r="P4" s="24">
        <v>274293000000</v>
      </c>
      <c r="Q4" s="16">
        <v>0.010973</v>
      </c>
    </row>
    <row r="5" spans="2:17" ht="12.75">
      <c r="B5" s="12" t="s">
        <v>61</v>
      </c>
      <c r="C5" s="16">
        <v>20.562555883206254</v>
      </c>
      <c r="D5" s="16">
        <v>20.39865712179308</v>
      </c>
      <c r="E5" s="16">
        <v>20.38062651883705</v>
      </c>
      <c r="F5" s="53">
        <v>20.47822985579386</v>
      </c>
      <c r="G5" s="53">
        <v>20.374007931565608</v>
      </c>
      <c r="H5" s="53">
        <v>20.313015998333597</v>
      </c>
      <c r="I5" s="20">
        <v>24.721703359552126</v>
      </c>
      <c r="J5" s="20">
        <v>24.745468568246174</v>
      </c>
      <c r="K5" s="20">
        <v>24.842382436859022</v>
      </c>
      <c r="N5" s="18" t="s">
        <v>1</v>
      </c>
      <c r="O5" s="25">
        <v>0.9501094478349859</v>
      </c>
      <c r="P5" s="26">
        <v>338060205405.02747</v>
      </c>
      <c r="Q5" s="18">
        <v>0.011023</v>
      </c>
    </row>
    <row r="6" spans="2:17" ht="12.75">
      <c r="B6" s="12" t="s">
        <v>62</v>
      </c>
      <c r="C6" s="16">
        <v>32.5600608734991</v>
      </c>
      <c r="D6" s="16">
        <v>29.421492336373287</v>
      </c>
      <c r="E6" s="16">
        <v>31.365215737664872</v>
      </c>
      <c r="F6" s="53">
        <v>22.486170668085062</v>
      </c>
      <c r="G6" s="53">
        <v>22.38629191318489</v>
      </c>
      <c r="H6" s="53">
        <v>22.57335447118543</v>
      </c>
      <c r="I6" s="20">
        <v>23.56358066245973</v>
      </c>
      <c r="J6" s="20">
        <v>23.642744536796073</v>
      </c>
      <c r="K6" s="20">
        <v>23.367490573086993</v>
      </c>
      <c r="N6" s="20" t="s">
        <v>2</v>
      </c>
      <c r="O6" s="27">
        <v>0.9104558937418901</v>
      </c>
      <c r="P6" s="8">
        <v>228114836089.66876</v>
      </c>
      <c r="Q6" s="20">
        <v>0.00871</v>
      </c>
    </row>
    <row r="7" spans="2:11" ht="12.75">
      <c r="B7" s="12" t="s">
        <v>63</v>
      </c>
      <c r="C7" s="16">
        <v>26.46375484633996</v>
      </c>
      <c r="D7" s="16">
        <v>26.463410351782922</v>
      </c>
      <c r="E7" s="16">
        <v>26.391699377989863</v>
      </c>
      <c r="F7" s="53">
        <v>23.254536444642998</v>
      </c>
      <c r="G7" s="53">
        <v>23.225392898187035</v>
      </c>
      <c r="H7" s="53">
        <v>23.315763459375628</v>
      </c>
      <c r="I7" s="20">
        <v>22.74123201089678</v>
      </c>
      <c r="J7" s="20">
        <v>22.767788432120412</v>
      </c>
      <c r="K7" s="20">
        <v>22.657663208103074</v>
      </c>
    </row>
    <row r="8" spans="2:18" ht="12.75">
      <c r="B8" s="12" t="s">
        <v>64</v>
      </c>
      <c r="C8" s="16">
        <v>17.376121521850187</v>
      </c>
      <c r="D8" s="16">
        <v>17.293365953311184</v>
      </c>
      <c r="E8" s="16">
        <v>17.34679403835525</v>
      </c>
      <c r="F8" s="53">
        <v>16.295521213610755</v>
      </c>
      <c r="G8" s="53">
        <v>16.193097079709645</v>
      </c>
      <c r="H8" s="53">
        <v>16.570953320502333</v>
      </c>
      <c r="I8" s="20">
        <v>24.254442681799375</v>
      </c>
      <c r="J8" s="20">
        <v>24.285311419787416</v>
      </c>
      <c r="K8" s="20">
        <v>24.00503362278511</v>
      </c>
      <c r="R8" s="54"/>
    </row>
    <row r="9" spans="2:18" ht="12.75">
      <c r="B9" s="12" t="s">
        <v>65</v>
      </c>
      <c r="C9" s="16">
        <v>30.51907994337027</v>
      </c>
      <c r="D9" s="16">
        <v>30.15852383937833</v>
      </c>
      <c r="E9" s="16">
        <v>30.775306924352844</v>
      </c>
      <c r="F9" s="53">
        <v>15.737799278840251</v>
      </c>
      <c r="G9" s="53">
        <v>15.715777038196224</v>
      </c>
      <c r="H9" s="53">
        <v>16.044580022808844</v>
      </c>
      <c r="I9" s="20">
        <v>24.09535083738999</v>
      </c>
      <c r="J9" s="20">
        <v>24.2853204939506</v>
      </c>
      <c r="K9" s="20">
        <v>23.888812166900653</v>
      </c>
      <c r="R9" s="54"/>
    </row>
    <row r="10" spans="2:11" ht="12.75">
      <c r="B10" s="12" t="s">
        <v>66</v>
      </c>
      <c r="C10" s="16">
        <v>15.251762467684328</v>
      </c>
      <c r="D10" s="16">
        <v>15.206023074701765</v>
      </c>
      <c r="E10" s="16">
        <v>15.12783701542522</v>
      </c>
      <c r="F10" s="53">
        <v>13.184184600778828</v>
      </c>
      <c r="G10" s="53">
        <v>13.329866690921461</v>
      </c>
      <c r="H10" s="53">
        <v>13.269346771304036</v>
      </c>
      <c r="I10" s="20">
        <v>23.500442142071083</v>
      </c>
      <c r="J10" s="20">
        <v>23.523887663471</v>
      </c>
      <c r="K10" s="20">
        <v>23.601272845707978</v>
      </c>
    </row>
    <row r="11" spans="2:11" ht="12.75">
      <c r="B11" s="12" t="s">
        <v>67</v>
      </c>
      <c r="C11" s="16">
        <v>23.00760978779376</v>
      </c>
      <c r="D11" s="16">
        <v>22.572473398330516</v>
      </c>
      <c r="E11" s="16">
        <v>22.70753597733032</v>
      </c>
      <c r="F11" s="53">
        <v>22.546727115739085</v>
      </c>
      <c r="G11" s="53">
        <v>22.300945911630244</v>
      </c>
      <c r="H11" s="53">
        <v>22.099704125806802</v>
      </c>
      <c r="I11" s="20">
        <v>24.132879286171868</v>
      </c>
      <c r="J11" s="20">
        <v>24.29110167331513</v>
      </c>
      <c r="K11" s="20">
        <v>24.307035505717323</v>
      </c>
    </row>
    <row r="12" spans="2:15" ht="12.75">
      <c r="B12" s="12" t="s">
        <v>37</v>
      </c>
      <c r="C12" s="16">
        <v>30.95306842505919</v>
      </c>
      <c r="D12" s="16">
        <v>30.692585423089152</v>
      </c>
      <c r="E12" s="16">
        <v>31.39093570189271</v>
      </c>
      <c r="F12" s="53">
        <v>30.164981831732586</v>
      </c>
      <c r="G12" s="53">
        <v>29.4779796496463</v>
      </c>
      <c r="H12" s="53">
        <v>30.115382410735194</v>
      </c>
      <c r="I12" s="20">
        <v>23.35678113630244</v>
      </c>
      <c r="J12" s="20">
        <v>23.397205395886722</v>
      </c>
      <c r="K12" s="20">
        <v>23.338492421008514</v>
      </c>
      <c r="M12" s="101" t="s">
        <v>81</v>
      </c>
      <c r="N12" s="101"/>
      <c r="O12" s="101"/>
    </row>
    <row r="13" spans="2:15" ht="13.5" thickBot="1">
      <c r="B13" s="12" t="s">
        <v>41</v>
      </c>
      <c r="C13" s="16">
        <v>15.765515390472558</v>
      </c>
      <c r="D13" s="16">
        <v>16.093674890259116</v>
      </c>
      <c r="E13" s="16">
        <v>16.282775788270808</v>
      </c>
      <c r="F13" s="53">
        <v>15.412853897646047</v>
      </c>
      <c r="G13" s="53">
        <v>15.415905218878173</v>
      </c>
      <c r="H13" s="53">
        <v>15.739530613568867</v>
      </c>
      <c r="I13" s="20">
        <v>14.846915643095308</v>
      </c>
      <c r="J13" s="20">
        <v>14.629708671974058</v>
      </c>
      <c r="K13" s="20">
        <v>14.560060782114975</v>
      </c>
      <c r="M13" s="6" t="s">
        <v>0</v>
      </c>
      <c r="N13" s="6" t="s">
        <v>1</v>
      </c>
      <c r="O13" s="6" t="s">
        <v>2</v>
      </c>
    </row>
    <row r="14" spans="2:15" ht="12.75">
      <c r="B14" s="12" t="s">
        <v>68</v>
      </c>
      <c r="C14" s="16">
        <v>18.519378796691168</v>
      </c>
      <c r="D14" s="16">
        <v>18.95896078325461</v>
      </c>
      <c r="E14" s="16">
        <v>19.042033195898924</v>
      </c>
      <c r="F14" s="53">
        <v>18.532117188417867</v>
      </c>
      <c r="G14" s="53">
        <v>18.2609704847607</v>
      </c>
      <c r="H14" s="53">
        <v>18.632338637961137</v>
      </c>
      <c r="I14" s="20">
        <v>18.071118876469168</v>
      </c>
      <c r="J14" s="20">
        <v>18.058301872875738</v>
      </c>
      <c r="K14" s="20">
        <v>18.365552027157232</v>
      </c>
      <c r="M14" s="16">
        <f>AVERAGE(4176000/(e2nt/(1+e2eff)^MEDIAN(C13:E13)),417600/(e2nt/(1+e2eff)^MEDIAN(C14:E14)))</f>
        <v>0.40974154449372147</v>
      </c>
      <c r="N14" s="18">
        <f>AVERAGE(4176000/(e6nt/(1+e6eff)^MEDIAN(F13:H13)),417600/(e6nt/(1+e6eff)^MEDIAN(F14:H14)))</f>
        <v>0.3295220158908606</v>
      </c>
      <c r="O14" s="20">
        <f>AVERAGE(4176000/(hmbsnt/(1+hmbseff)^MEDIAN(I13:K13)),417600/(hmbsnt/(1+hmbseff)^MEDIAN(I14:K14)))</f>
        <v>0.22888497700007754</v>
      </c>
    </row>
    <row r="16" spans="2:11" ht="18">
      <c r="B16" s="11"/>
      <c r="C16" s="93" t="s">
        <v>80</v>
      </c>
      <c r="D16" s="93"/>
      <c r="E16" s="93"/>
      <c r="F16" s="93"/>
      <c r="G16" s="93"/>
      <c r="H16" s="93"/>
      <c r="I16" s="93"/>
      <c r="J16" s="93"/>
      <c r="K16" s="93"/>
    </row>
    <row r="17" spans="2:11" ht="12.75">
      <c r="B17" s="11"/>
      <c r="C17" s="109" t="s">
        <v>0</v>
      </c>
      <c r="D17" s="109"/>
      <c r="E17" s="109"/>
      <c r="F17" s="110" t="s">
        <v>1</v>
      </c>
      <c r="G17" s="110"/>
      <c r="H17" s="110"/>
      <c r="I17" s="111" t="s">
        <v>2</v>
      </c>
      <c r="J17" s="111"/>
      <c r="K17" s="111"/>
    </row>
    <row r="18" spans="2:11" ht="13.5" thickBot="1">
      <c r="B18" s="14"/>
      <c r="C18" s="113" t="s">
        <v>42</v>
      </c>
      <c r="D18" s="113"/>
      <c r="E18" s="113"/>
      <c r="F18" s="114" t="s">
        <v>42</v>
      </c>
      <c r="G18" s="114"/>
      <c r="H18" s="114"/>
      <c r="I18" s="112" t="s">
        <v>42</v>
      </c>
      <c r="J18" s="112"/>
      <c r="K18" s="112"/>
    </row>
    <row r="19" spans="2:11" ht="12.75">
      <c r="B19" s="12" t="s">
        <v>73</v>
      </c>
      <c r="C19" s="16">
        <v>18.850547942502512</v>
      </c>
      <c r="D19" s="16">
        <v>18.894821352051007</v>
      </c>
      <c r="E19" s="16">
        <v>18.509917367534417</v>
      </c>
      <c r="F19" s="53">
        <v>18.344015062620528</v>
      </c>
      <c r="G19" s="53">
        <v>18.216799124766805</v>
      </c>
      <c r="H19" s="53">
        <v>18.345260629441626</v>
      </c>
      <c r="I19" s="20">
        <v>22.57450506533681</v>
      </c>
      <c r="J19" s="20">
        <v>22.652496964759695</v>
      </c>
      <c r="K19" s="20">
        <v>22.57304997155131</v>
      </c>
    </row>
    <row r="20" spans="2:11" ht="12.75">
      <c r="B20" s="12" t="s">
        <v>74</v>
      </c>
      <c r="C20" s="16">
        <v>15.323943723724813</v>
      </c>
      <c r="D20" s="16">
        <v>15.318353329414096</v>
      </c>
      <c r="E20" s="16">
        <v>15.04065548658665</v>
      </c>
      <c r="F20" s="53">
        <v>15.025537629000965</v>
      </c>
      <c r="G20" s="53">
        <v>15.034890546167537</v>
      </c>
      <c r="H20" s="53">
        <v>14.954226635176212</v>
      </c>
      <c r="I20" s="20">
        <v>22.897498447338638</v>
      </c>
      <c r="J20" s="20">
        <v>22.70567030282812</v>
      </c>
      <c r="K20" s="20">
        <v>22.71132905891354</v>
      </c>
    </row>
    <row r="21" spans="2:11" ht="12.75">
      <c r="B21" s="12" t="s">
        <v>75</v>
      </c>
      <c r="C21" s="16">
        <v>20.31478058865547</v>
      </c>
      <c r="D21" s="16">
        <v>20.18489204169472</v>
      </c>
      <c r="E21" s="16">
        <v>20.09504581273229</v>
      </c>
      <c r="F21" s="53">
        <v>19.56934879731637</v>
      </c>
      <c r="G21" s="53">
        <v>19.421374684308965</v>
      </c>
      <c r="H21" s="53">
        <v>19.933113954068055</v>
      </c>
      <c r="I21" s="20">
        <v>23.634613717391915</v>
      </c>
      <c r="J21" s="20">
        <v>23.55303048301392</v>
      </c>
      <c r="K21" s="20">
        <v>23.22551473979396</v>
      </c>
    </row>
    <row r="22" spans="2:11" ht="12.75">
      <c r="B22" s="12" t="s">
        <v>76</v>
      </c>
      <c r="C22" s="16">
        <v>16.93443558365372</v>
      </c>
      <c r="D22" s="16">
        <v>16.71926729864999</v>
      </c>
      <c r="E22" s="16">
        <v>16.574454509422775</v>
      </c>
      <c r="F22" s="53">
        <v>15.90832159797071</v>
      </c>
      <c r="G22" s="53">
        <v>15.472216139095783</v>
      </c>
      <c r="H22" s="53">
        <v>15.809137091434982</v>
      </c>
      <c r="I22" s="20">
        <v>23.162718233866283</v>
      </c>
      <c r="J22" s="20">
        <v>23.194294993413614</v>
      </c>
      <c r="K22" s="20">
        <v>23.30292351943369</v>
      </c>
    </row>
    <row r="23" spans="2:11" ht="12.75">
      <c r="B23" s="12" t="s">
        <v>77</v>
      </c>
      <c r="C23" s="16">
        <v>15.977013244115977</v>
      </c>
      <c r="D23" s="16">
        <v>15.747742042507081</v>
      </c>
      <c r="E23" s="16">
        <v>15.445202193240643</v>
      </c>
      <c r="F23" s="53">
        <v>15.720405216275807</v>
      </c>
      <c r="G23" s="53">
        <v>15.951519767086852</v>
      </c>
      <c r="H23" s="53">
        <v>16.08705399155762</v>
      </c>
      <c r="I23" s="20">
        <v>23.16324725898411</v>
      </c>
      <c r="J23" s="20">
        <v>23.120314816072735</v>
      </c>
      <c r="K23" s="20">
        <v>23.095838835509554</v>
      </c>
    </row>
    <row r="24" spans="2:11" ht="12.75">
      <c r="B24" s="12" t="s">
        <v>78</v>
      </c>
      <c r="C24" s="16">
        <v>24.86437819443226</v>
      </c>
      <c r="D24" s="16">
        <v>24.564123219939557</v>
      </c>
      <c r="E24" s="16">
        <v>24.618959677348</v>
      </c>
      <c r="F24" s="53">
        <v>24.143791926919697</v>
      </c>
      <c r="G24" s="53">
        <v>24.444460600714727</v>
      </c>
      <c r="H24" s="53">
        <v>24.2503325397581</v>
      </c>
      <c r="I24" s="20">
        <v>23.48532423365799</v>
      </c>
      <c r="J24" s="20">
        <v>23.378170813139093</v>
      </c>
      <c r="K24" s="20">
        <v>23.675803050502054</v>
      </c>
    </row>
    <row r="25" spans="2:11" ht="12.75">
      <c r="B25" s="12" t="s">
        <v>79</v>
      </c>
      <c r="C25" s="16">
        <v>28.3912646612188</v>
      </c>
      <c r="D25" s="16">
        <v>28.44032226078658</v>
      </c>
      <c r="E25" s="16">
        <v>28.965965197761466</v>
      </c>
      <c r="F25" s="53">
        <v>23.89444580576269</v>
      </c>
      <c r="G25" s="53">
        <v>23.150636662262137</v>
      </c>
      <c r="H25" s="53">
        <v>23.30814205034344</v>
      </c>
      <c r="I25" s="20">
        <v>24.072861211126632</v>
      </c>
      <c r="J25" s="20">
        <v>24.29542559712127</v>
      </c>
      <c r="K25" s="20">
        <v>23.988800865303364</v>
      </c>
    </row>
    <row r="26" spans="2:15" ht="12.75">
      <c r="B26" s="12" t="s">
        <v>37</v>
      </c>
      <c r="C26" s="16">
        <v>28.302954533468245</v>
      </c>
      <c r="D26" s="16">
        <v>28.010251643192046</v>
      </c>
      <c r="E26" s="16">
        <v>27.86272850811312</v>
      </c>
      <c r="F26" s="53">
        <v>27.811000296397523</v>
      </c>
      <c r="G26" s="53">
        <v>27.62520410265053</v>
      </c>
      <c r="H26" s="53">
        <v>27.83214844578042</v>
      </c>
      <c r="I26" s="20">
        <v>22.874941681071796</v>
      </c>
      <c r="J26" s="20">
        <v>22.729622293952307</v>
      </c>
      <c r="K26" s="20">
        <v>22.832716513030988</v>
      </c>
      <c r="M26" s="101" t="s">
        <v>82</v>
      </c>
      <c r="N26" s="101"/>
      <c r="O26" s="101"/>
    </row>
    <row r="27" spans="2:15" ht="13.5" thickBot="1">
      <c r="B27" s="12" t="s">
        <v>41</v>
      </c>
      <c r="C27" s="16">
        <v>15.536098926228739</v>
      </c>
      <c r="D27" s="16">
        <v>16.03359150551991</v>
      </c>
      <c r="E27" s="16">
        <v>16.070460042557855</v>
      </c>
      <c r="F27" s="53">
        <v>15.392520119572987</v>
      </c>
      <c r="G27" s="53">
        <v>15.610596077674115</v>
      </c>
      <c r="H27" s="53">
        <v>15.457945771619764</v>
      </c>
      <c r="I27" s="20">
        <v>14.9595386071626</v>
      </c>
      <c r="J27" s="20">
        <v>15.13468161115882</v>
      </c>
      <c r="K27" s="20">
        <v>14.84350836461323</v>
      </c>
      <c r="M27" s="6" t="s">
        <v>0</v>
      </c>
      <c r="N27" s="6" t="s">
        <v>1</v>
      </c>
      <c r="O27" s="6" t="s">
        <v>2</v>
      </c>
    </row>
    <row r="28" spans="2:15" ht="12.75">
      <c r="B28" s="12" t="s">
        <v>68</v>
      </c>
      <c r="C28" s="16">
        <v>18.557801532441477</v>
      </c>
      <c r="D28" s="16">
        <v>18.369663531254687</v>
      </c>
      <c r="E28" s="16">
        <v>18.858840089500248</v>
      </c>
      <c r="F28" s="53">
        <v>18.211923389795718</v>
      </c>
      <c r="G28" s="53">
        <v>18.189204204332725</v>
      </c>
      <c r="H28" s="53">
        <v>18.4404614381684</v>
      </c>
      <c r="I28" s="20">
        <v>17.550474682914846</v>
      </c>
      <c r="J28" s="20">
        <v>17.60253933993277</v>
      </c>
      <c r="K28" s="20">
        <v>18.1168476711803</v>
      </c>
      <c r="M28" s="16">
        <f>AVERAGE(4176000/(e2nt/(1+e2eff)^MEDIAN(C27:E27)),417600/(e2nt/(1+e2eff)^MEDIAN(C28:E28)))</f>
        <v>0.3637952154196547</v>
      </c>
      <c r="N28" s="18">
        <f>AVERAGE(4176000/(e6nt/(1+e6eff)^MEDIAN(F27:H27)),417600/(e6nt/(1+e6eff)^MEDIAN(F28:H28)))</f>
        <v>0.30650491834816274</v>
      </c>
      <c r="O28" s="20">
        <f>AVERAGE(4176000/(hmbsnt/(1+hmbseff)^MEDIAN(I27:K27)),417600/(hmbsnt/(1+hmbseff)^MEDIAN(I28:K28)))</f>
        <v>0.2283192379988459</v>
      </c>
    </row>
    <row r="31" ht="12.75">
      <c r="A31" s="58" t="s">
        <v>85</v>
      </c>
    </row>
    <row r="32" spans="2:10" ht="18">
      <c r="B32" s="12"/>
      <c r="C32" s="93" t="s">
        <v>83</v>
      </c>
      <c r="D32" s="93"/>
      <c r="E32" s="93"/>
      <c r="F32" s="93"/>
      <c r="G32" s="93"/>
      <c r="H32" s="93"/>
      <c r="I32" s="55"/>
      <c r="J32" s="55"/>
    </row>
    <row r="33" spans="2:8" ht="13.5" thickBot="1">
      <c r="B33" s="14"/>
      <c r="C33" s="15" t="s">
        <v>0</v>
      </c>
      <c r="D33" s="17" t="s">
        <v>1</v>
      </c>
      <c r="E33" s="19" t="s">
        <v>39</v>
      </c>
      <c r="F33" s="15" t="s">
        <v>55</v>
      </c>
      <c r="G33" s="17" t="s">
        <v>56</v>
      </c>
      <c r="H33" s="6" t="s">
        <v>40</v>
      </c>
    </row>
    <row r="34" spans="2:10" ht="12.75">
      <c r="B34" s="12" t="s">
        <v>61</v>
      </c>
      <c r="C34" s="30">
        <f aca="true" t="shared" si="0" ref="C34:C41">e2nt/(1+e2eff)^MEDIAN(C5:E5)*$M$14</f>
        <v>211611.8192685945</v>
      </c>
      <c r="D34" s="31">
        <f aca="true" t="shared" si="1" ref="D34:D41">e6nt/(1+e6eff)^MEDIAN(F5:H5)*$N$14</f>
        <v>137155.8695850626</v>
      </c>
      <c r="E34" s="32">
        <f aca="true" t="shared" si="2" ref="E34:E41">(hmbsnt/(1+hmbseff)^MEDIAN(I5:K5)*$O$14)/2</f>
        <v>2883.1925000190213</v>
      </c>
      <c r="F34" s="30">
        <f>C34/E34</f>
        <v>73.39496730350069</v>
      </c>
      <c r="G34" s="31">
        <f>D34/E34</f>
        <v>47.570833228845366</v>
      </c>
      <c r="H34" s="4">
        <f>C34/D34</f>
        <v>1.5428564589235834</v>
      </c>
      <c r="I34" s="56"/>
      <c r="J34" s="57"/>
    </row>
    <row r="35" spans="2:10" ht="12.75">
      <c r="B35" s="12" t="s">
        <v>62</v>
      </c>
      <c r="C35" s="30">
        <f t="shared" si="0"/>
        <v>176.85325494634094</v>
      </c>
      <c r="D35" s="31">
        <f t="shared" si="1"/>
        <v>33462.82603044607</v>
      </c>
      <c r="E35" s="32">
        <f t="shared" si="2"/>
        <v>6196.494638849613</v>
      </c>
      <c r="F35" s="30">
        <f aca="true" t="shared" si="3" ref="F35:F41">C35/E35</f>
        <v>0.028540854992036912</v>
      </c>
      <c r="G35" s="31">
        <f aca="true" t="shared" si="4" ref="G35:G41">D35/E35</f>
        <v>5.400283221524498</v>
      </c>
      <c r="H35" s="4">
        <f aca="true" t="shared" si="5" ref="H35:H41">C35/D35</f>
        <v>0.005285066323610308</v>
      </c>
      <c r="I35" s="56"/>
      <c r="J35" s="57"/>
    </row>
    <row r="36" spans="2:10" ht="12.75">
      <c r="B36" s="12" t="s">
        <v>63</v>
      </c>
      <c r="C36" s="30">
        <f t="shared" si="0"/>
        <v>4201.23749971994</v>
      </c>
      <c r="D36" s="31">
        <f t="shared" si="1"/>
        <v>20030.473572565323</v>
      </c>
      <c r="E36" s="32">
        <f t="shared" si="2"/>
        <v>10552.095766523402</v>
      </c>
      <c r="F36" s="30">
        <f t="shared" si="3"/>
        <v>0.39814247261178165</v>
      </c>
      <c r="G36" s="31">
        <f t="shared" si="4"/>
        <v>1.8982459992556304</v>
      </c>
      <c r="H36" s="4">
        <f t="shared" si="5"/>
        <v>0.20974229513345868</v>
      </c>
      <c r="I36" s="56"/>
      <c r="J36" s="57"/>
    </row>
    <row r="37" spans="2:10" ht="12.75">
      <c r="B37" s="12" t="s">
        <v>64</v>
      </c>
      <c r="C37" s="30">
        <f t="shared" si="0"/>
        <v>1520864.1763723094</v>
      </c>
      <c r="D37" s="31">
        <f t="shared" si="1"/>
        <v>2090336.102020668</v>
      </c>
      <c r="E37" s="32">
        <f t="shared" si="2"/>
        <v>3962.0430665857966</v>
      </c>
      <c r="F37" s="30">
        <f t="shared" si="3"/>
        <v>383.8585676159448</v>
      </c>
      <c r="G37" s="31">
        <f t="shared" si="4"/>
        <v>527.5904544424776</v>
      </c>
      <c r="H37" s="4">
        <f t="shared" si="5"/>
        <v>0.7275692052116086</v>
      </c>
      <c r="I37" s="56"/>
      <c r="J37" s="57"/>
    </row>
    <row r="38" spans="2:10" ht="12.75">
      <c r="B38" s="12" t="s">
        <v>65</v>
      </c>
      <c r="C38" s="30">
        <f t="shared" si="0"/>
        <v>305.55794585232513</v>
      </c>
      <c r="D38" s="31">
        <f t="shared" si="1"/>
        <v>3033810.0128882243</v>
      </c>
      <c r="E38" s="32">
        <f t="shared" si="2"/>
        <v>4391.832804037345</v>
      </c>
      <c r="F38" s="30">
        <f t="shared" si="3"/>
        <v>0.06957412986474129</v>
      </c>
      <c r="G38" s="31">
        <f t="shared" si="4"/>
        <v>690.7844966455209</v>
      </c>
      <c r="H38" s="4">
        <f t="shared" si="5"/>
        <v>0.00010071756126924712</v>
      </c>
      <c r="I38" s="56"/>
      <c r="J38" s="57"/>
    </row>
    <row r="39" spans="2:8" ht="12.75">
      <c r="B39" s="12" t="s">
        <v>66</v>
      </c>
      <c r="C39" s="30">
        <f t="shared" si="0"/>
        <v>6066377.913779594</v>
      </c>
      <c r="D39" s="31">
        <f t="shared" si="1"/>
        <v>15775575.540991139</v>
      </c>
      <c r="E39" s="32">
        <f t="shared" si="2"/>
        <v>6357.77639486094</v>
      </c>
      <c r="F39" s="30">
        <f t="shared" si="3"/>
        <v>954.1666043308968</v>
      </c>
      <c r="G39" s="31">
        <f t="shared" si="4"/>
        <v>2481.303927854825</v>
      </c>
      <c r="H39" s="4">
        <f t="shared" si="5"/>
        <v>0.38454241482453444</v>
      </c>
    </row>
    <row r="40" spans="2:8" ht="12.75">
      <c r="B40" s="12" t="s">
        <v>67</v>
      </c>
      <c r="C40" s="30">
        <f t="shared" si="0"/>
        <v>47590.35268968057</v>
      </c>
      <c r="D40" s="31">
        <f t="shared" si="1"/>
        <v>37869.425848511</v>
      </c>
      <c r="E40" s="32">
        <f t="shared" si="2"/>
        <v>3869.127064450496</v>
      </c>
      <c r="F40" s="30">
        <f t="shared" si="3"/>
        <v>12.300023208578569</v>
      </c>
      <c r="G40" s="31">
        <f t="shared" si="4"/>
        <v>9.787589091207403</v>
      </c>
      <c r="H40" s="4">
        <f t="shared" si="5"/>
        <v>1.2566959129524746</v>
      </c>
    </row>
    <row r="41" spans="2:8" ht="12.75">
      <c r="B41" s="12" t="s">
        <v>37</v>
      </c>
      <c r="C41" s="30">
        <f t="shared" si="0"/>
        <v>230.82789759398304</v>
      </c>
      <c r="D41" s="31">
        <f t="shared" si="1"/>
        <v>204.9468231303076</v>
      </c>
      <c r="E41" s="32">
        <f t="shared" si="2"/>
        <v>7084.106472491618</v>
      </c>
      <c r="F41" s="30">
        <f t="shared" si="3"/>
        <v>0.032583911392398426</v>
      </c>
      <c r="G41" s="31">
        <f t="shared" si="4"/>
        <v>0.028930511409750708</v>
      </c>
      <c r="H41" s="4">
        <f t="shared" si="5"/>
        <v>1.1262819011701388</v>
      </c>
    </row>
    <row r="43" spans="2:8" ht="18">
      <c r="B43" s="12"/>
      <c r="C43" s="93" t="s">
        <v>84</v>
      </c>
      <c r="D43" s="93"/>
      <c r="E43" s="93"/>
      <c r="F43" s="93"/>
      <c r="G43" s="93"/>
      <c r="H43" s="93"/>
    </row>
    <row r="44" spans="2:8" ht="13.5" thickBot="1">
      <c r="B44" s="14"/>
      <c r="C44" s="15" t="s">
        <v>0</v>
      </c>
      <c r="D44" s="17" t="s">
        <v>1</v>
      </c>
      <c r="E44" s="19" t="s">
        <v>39</v>
      </c>
      <c r="F44" s="15" t="s">
        <v>55</v>
      </c>
      <c r="G44" s="17" t="s">
        <v>56</v>
      </c>
      <c r="H44" s="6" t="s">
        <v>40</v>
      </c>
    </row>
    <row r="45" spans="2:8" ht="12.75">
      <c r="B45" s="12" t="s">
        <v>73</v>
      </c>
      <c r="C45" s="30">
        <f aca="true" t="shared" si="6" ref="C45:C52">e2nt/(1+e2eff)^MEDIAN(C19:E19)*$M$28</f>
        <v>510959.69090105686</v>
      </c>
      <c r="D45" s="31">
        <f aca="true" t="shared" si="7" ref="D45:D52">e6nt/(1+e6eff)^MEDIAN(F19:H19)*$N$28</f>
        <v>494977.0738269295</v>
      </c>
      <c r="E45" s="32">
        <f aca="true" t="shared" si="8" ref="E45:E52">(hmbsnt/(1+hmbseff)^MEDIAN(I19:K19)*$O$28)/2</f>
        <v>11725.653539717423</v>
      </c>
      <c r="F45" s="30">
        <f>C45/E45</f>
        <v>43.57622278112871</v>
      </c>
      <c r="G45" s="31">
        <f>D45/E45</f>
        <v>42.21317576460288</v>
      </c>
      <c r="H45" s="4">
        <f>C45/D45</f>
        <v>1.0322896108107742</v>
      </c>
    </row>
    <row r="46" spans="2:8" ht="12.75">
      <c r="B46" s="12" t="s">
        <v>74</v>
      </c>
      <c r="C46" s="30">
        <f t="shared" si="6"/>
        <v>5008979.997179444</v>
      </c>
      <c r="D46" s="31">
        <f t="shared" si="7"/>
        <v>4540872.256966433</v>
      </c>
      <c r="E46" s="32">
        <f t="shared" si="8"/>
        <v>10731.755474719268</v>
      </c>
      <c r="F46" s="30">
        <f aca="true" t="shared" si="9" ref="F46:F52">C46/E46</f>
        <v>466.7437688996053</v>
      </c>
      <c r="G46" s="31">
        <f aca="true" t="shared" si="10" ref="G46:G52">D46/E46</f>
        <v>423.12483429792434</v>
      </c>
      <c r="H46" s="4">
        <f aca="true" t="shared" si="11" ref="H46:H52">C46/D46</f>
        <v>1.1030876258399163</v>
      </c>
    </row>
    <row r="47" spans="2:8" ht="12.75">
      <c r="B47" s="12" t="s">
        <v>75</v>
      </c>
      <c r="C47" s="30">
        <f t="shared" si="6"/>
        <v>215716.4352738542</v>
      </c>
      <c r="D47" s="31">
        <f t="shared" si="7"/>
        <v>218356.44891681543</v>
      </c>
      <c r="E47" s="32">
        <f t="shared" si="8"/>
        <v>6223.537950195578</v>
      </c>
      <c r="F47" s="30">
        <f t="shared" si="9"/>
        <v>34.66138344461694</v>
      </c>
      <c r="G47" s="31">
        <f t="shared" si="10"/>
        <v>35.08558165214586</v>
      </c>
      <c r="H47" s="4">
        <f t="shared" si="11"/>
        <v>0.9879096145039117</v>
      </c>
    </row>
    <row r="48" spans="2:8" ht="12.75">
      <c r="B48" s="12" t="s">
        <v>76</v>
      </c>
      <c r="C48" s="30">
        <f t="shared" si="6"/>
        <v>2025639.1090032193</v>
      </c>
      <c r="D48" s="31">
        <f t="shared" si="7"/>
        <v>2690600.501366314</v>
      </c>
      <c r="E48" s="32">
        <f t="shared" si="8"/>
        <v>7850.388815967387</v>
      </c>
      <c r="F48" s="30">
        <f t="shared" si="9"/>
        <v>258.03041817281047</v>
      </c>
      <c r="G48" s="31">
        <f t="shared" si="10"/>
        <v>342.73468033758235</v>
      </c>
      <c r="H48" s="4">
        <f t="shared" si="11"/>
        <v>0.7528576271262045</v>
      </c>
    </row>
    <row r="49" spans="2:8" ht="12.75">
      <c r="B49" s="12" t="s">
        <v>77</v>
      </c>
      <c r="C49" s="30">
        <f t="shared" si="6"/>
        <v>3795202.9479003027</v>
      </c>
      <c r="D49" s="31">
        <f t="shared" si="7"/>
        <v>2446526.0490377643</v>
      </c>
      <c r="E49" s="32">
        <f t="shared" si="8"/>
        <v>8235.495484388985</v>
      </c>
      <c r="F49" s="30">
        <f t="shared" si="9"/>
        <v>460.83480406180803</v>
      </c>
      <c r="G49" s="31">
        <f t="shared" si="10"/>
        <v>297.070899216124</v>
      </c>
      <c r="H49" s="4">
        <f t="shared" si="11"/>
        <v>1.5512620228969083</v>
      </c>
    </row>
    <row r="50" spans="2:8" ht="12.75">
      <c r="B50" s="12" t="s">
        <v>78</v>
      </c>
      <c r="C50" s="30">
        <f t="shared" si="6"/>
        <v>12285.605794533818</v>
      </c>
      <c r="D50" s="31">
        <f t="shared" si="7"/>
        <v>9580.862850866499</v>
      </c>
      <c r="E50" s="32">
        <f t="shared" si="8"/>
        <v>6502.375941160954</v>
      </c>
      <c r="F50" s="30">
        <f t="shared" si="9"/>
        <v>1.8894025669546735</v>
      </c>
      <c r="G50" s="31">
        <f t="shared" si="10"/>
        <v>1.4734403143654444</v>
      </c>
      <c r="H50" s="4">
        <f t="shared" si="11"/>
        <v>1.2823068220231022</v>
      </c>
    </row>
    <row r="51" spans="2:8" ht="12.75">
      <c r="B51" s="12" t="s">
        <v>79</v>
      </c>
      <c r="C51" s="30">
        <f t="shared" si="6"/>
        <v>1039.6200619598485</v>
      </c>
      <c r="D51" s="31">
        <f t="shared" si="7"/>
        <v>17976.098604158262</v>
      </c>
      <c r="E51" s="32">
        <f t="shared" si="8"/>
        <v>4445.224328888848</v>
      </c>
      <c r="F51" s="30">
        <f t="shared" si="9"/>
        <v>0.23387347522677615</v>
      </c>
      <c r="G51" s="31">
        <f t="shared" si="10"/>
        <v>4.043912584418808</v>
      </c>
      <c r="H51" s="4">
        <f t="shared" si="11"/>
        <v>0.057833464582763346</v>
      </c>
    </row>
    <row r="52" spans="2:8" ht="12.75">
      <c r="B52" s="12" t="s">
        <v>37</v>
      </c>
      <c r="C52" s="30">
        <f t="shared" si="6"/>
        <v>1372.7148469997235</v>
      </c>
      <c r="D52" s="31">
        <f t="shared" si="7"/>
        <v>888.3844394845452</v>
      </c>
      <c r="E52" s="32">
        <f t="shared" si="8"/>
        <v>9920.744434290746</v>
      </c>
      <c r="F52" s="30">
        <f t="shared" si="9"/>
        <v>0.13836812913504526</v>
      </c>
      <c r="G52" s="31">
        <f t="shared" si="10"/>
        <v>0.08954816297997475</v>
      </c>
      <c r="H52" s="4">
        <f t="shared" si="11"/>
        <v>1.54518110177188</v>
      </c>
    </row>
    <row r="56" spans="2:5" ht="13.5" thickBot="1">
      <c r="B56" s="6" t="s">
        <v>109</v>
      </c>
      <c r="C56" s="6" t="s">
        <v>110</v>
      </c>
      <c r="D56" s="6" t="s">
        <v>56</v>
      </c>
      <c r="E56" s="78" t="s">
        <v>55</v>
      </c>
    </row>
    <row r="57" spans="2:5" ht="12.75">
      <c r="B57" s="12" t="s">
        <v>78</v>
      </c>
      <c r="C57" s="11" t="s">
        <v>111</v>
      </c>
      <c r="D57" s="52">
        <f>G50</f>
        <v>1.4734403143654444</v>
      </c>
      <c r="E57" s="52">
        <f>F50</f>
        <v>1.8894025669546735</v>
      </c>
    </row>
    <row r="58" spans="2:5" ht="12.75">
      <c r="B58" s="12" t="s">
        <v>63</v>
      </c>
      <c r="C58" s="11" t="s">
        <v>111</v>
      </c>
      <c r="D58" s="52">
        <f>G36</f>
        <v>1.8982459992556304</v>
      </c>
      <c r="E58" s="52"/>
    </row>
    <row r="59" spans="2:5" ht="12.75">
      <c r="B59" s="12" t="s">
        <v>79</v>
      </c>
      <c r="C59" s="11" t="s">
        <v>111</v>
      </c>
      <c r="D59" s="52">
        <f>G51</f>
        <v>4.043912584418808</v>
      </c>
      <c r="E59" s="52"/>
    </row>
    <row r="60" spans="2:5" ht="12.75">
      <c r="B60" s="12" t="s">
        <v>62</v>
      </c>
      <c r="C60" s="11" t="s">
        <v>111</v>
      </c>
      <c r="D60" s="52">
        <f>G35</f>
        <v>5.400283221524498</v>
      </c>
      <c r="E60" s="52"/>
    </row>
    <row r="61" spans="2:5" ht="12.75">
      <c r="B61" s="12" t="s">
        <v>67</v>
      </c>
      <c r="C61" s="11" t="s">
        <v>111</v>
      </c>
      <c r="D61" s="52">
        <f>G40</f>
        <v>9.787589091207403</v>
      </c>
      <c r="E61" s="52">
        <f>F40</f>
        <v>12.300023208578569</v>
      </c>
    </row>
    <row r="62" spans="2:5" ht="12.75">
      <c r="B62" s="12" t="s">
        <v>75</v>
      </c>
      <c r="C62" s="11" t="s">
        <v>111</v>
      </c>
      <c r="D62" s="52">
        <f>G47</f>
        <v>35.08558165214586</v>
      </c>
      <c r="E62" s="52">
        <f>F47</f>
        <v>34.66138344461694</v>
      </c>
    </row>
    <row r="63" spans="2:5" ht="12.75">
      <c r="B63" s="12" t="s">
        <v>73</v>
      </c>
      <c r="C63" s="11" t="s">
        <v>111</v>
      </c>
      <c r="D63" s="52">
        <f>G45</f>
        <v>42.21317576460288</v>
      </c>
      <c r="E63" s="52">
        <f>F45</f>
        <v>43.57622278112871</v>
      </c>
    </row>
    <row r="64" spans="2:5" ht="12.75">
      <c r="B64" s="12" t="s">
        <v>61</v>
      </c>
      <c r="C64" s="11" t="s">
        <v>111</v>
      </c>
      <c r="D64" s="52">
        <f>G34</f>
        <v>47.570833228845366</v>
      </c>
      <c r="E64" s="52">
        <f>F34</f>
        <v>73.39496730350069</v>
      </c>
    </row>
    <row r="65" spans="2:5" ht="12.75">
      <c r="B65" s="12" t="s">
        <v>77</v>
      </c>
      <c r="C65" s="11" t="s">
        <v>112</v>
      </c>
      <c r="D65" s="52">
        <f>G49</f>
        <v>297.070899216124</v>
      </c>
      <c r="E65" s="52">
        <f>F49</f>
        <v>460.83480406180803</v>
      </c>
    </row>
    <row r="66" spans="2:5" ht="12.75">
      <c r="B66" s="12" t="s">
        <v>76</v>
      </c>
      <c r="C66" s="11" t="s">
        <v>112</v>
      </c>
      <c r="D66" s="52">
        <f>G48</f>
        <v>342.73468033758235</v>
      </c>
      <c r="E66" s="52">
        <f>F48</f>
        <v>258.03041817281047</v>
      </c>
    </row>
    <row r="67" spans="2:5" ht="12.75">
      <c r="B67" s="12" t="s">
        <v>74</v>
      </c>
      <c r="C67" s="11" t="s">
        <v>112</v>
      </c>
      <c r="D67" s="52">
        <f>G46</f>
        <v>423.12483429792434</v>
      </c>
      <c r="E67" s="52">
        <f>F46</f>
        <v>466.7437688996053</v>
      </c>
    </row>
    <row r="68" spans="2:5" ht="12.75">
      <c r="B68" s="12" t="s">
        <v>64</v>
      </c>
      <c r="C68" s="11" t="s">
        <v>112</v>
      </c>
      <c r="D68" s="52">
        <f>G37</f>
        <v>527.5904544424776</v>
      </c>
      <c r="E68" s="52">
        <f>F37</f>
        <v>383.8585676159448</v>
      </c>
    </row>
    <row r="69" spans="2:5" ht="12.75">
      <c r="B69" s="12" t="s">
        <v>65</v>
      </c>
      <c r="C69" s="11" t="s">
        <v>112</v>
      </c>
      <c r="D69" s="52">
        <f>G38</f>
        <v>690.7844966455209</v>
      </c>
      <c r="E69" s="52"/>
    </row>
    <row r="70" spans="2:5" ht="12.75">
      <c r="B70" s="12" t="s">
        <v>66</v>
      </c>
      <c r="C70" s="11" t="s">
        <v>113</v>
      </c>
      <c r="D70" s="52">
        <f>G39</f>
        <v>2481.303927854825</v>
      </c>
      <c r="E70" s="52">
        <f>F39</f>
        <v>954.1666043308968</v>
      </c>
    </row>
  </sheetData>
  <mergeCells count="16">
    <mergeCell ref="F17:H17"/>
    <mergeCell ref="I17:K17"/>
    <mergeCell ref="C32:H32"/>
    <mergeCell ref="C43:H43"/>
    <mergeCell ref="C18:E18"/>
    <mergeCell ref="F18:H18"/>
    <mergeCell ref="M26:O26"/>
    <mergeCell ref="N2:Q2"/>
    <mergeCell ref="C2:K2"/>
    <mergeCell ref="C16:K16"/>
    <mergeCell ref="C3:E3"/>
    <mergeCell ref="F3:H3"/>
    <mergeCell ref="I3:K3"/>
    <mergeCell ref="I18:K18"/>
    <mergeCell ref="M12:O12"/>
    <mergeCell ref="C17:E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Hutchison/MRC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Roberts</dc:creator>
  <cp:keywords/>
  <dc:description/>
  <cp:lastModifiedBy>Ian Roberts</cp:lastModifiedBy>
  <cp:lastPrinted>2007-10-04T10:08:12Z</cp:lastPrinted>
  <dcterms:created xsi:type="dcterms:W3CDTF">2007-09-28T07:06:12Z</dcterms:created>
  <dcterms:modified xsi:type="dcterms:W3CDTF">2008-07-18T13:10:43Z</dcterms:modified>
  <cp:category/>
  <cp:version/>
  <cp:contentType/>
  <cp:contentStatus/>
</cp:coreProperties>
</file>